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3.xml" ContentType="application/vnd.openxmlformats-officedocument.drawing+xml"/>
  <Override PartName="/xl/tables/table5.xml" ContentType="application/vnd.openxmlformats-officedocument.spreadsheetml.table+xml"/>
  <Override PartName="/xl/comments4.xml" ContentType="application/vnd.openxmlformats-officedocument.spreadsheetml.comments+xml"/>
  <Override PartName="/xl/drawings/drawing4.xml" ContentType="application/vnd.openxmlformats-officedocument.drawing+xml"/>
  <Override PartName="/xl/tables/table6.xml" ContentType="application/vnd.openxmlformats-officedocument.spreadsheetml.table+xml"/>
  <Override PartName="/xl/comments5.xml" ContentType="application/vnd.openxmlformats-officedocument.spreadsheetml.comments+xml"/>
  <Override PartName="/xl/drawings/drawing5.xml" ContentType="application/vnd.openxmlformats-officedocument.drawing+xml"/>
  <Override PartName="/xl/tables/table7.xml" ContentType="application/vnd.openxmlformats-officedocument.spreadsheetml.table+xml"/>
  <Override PartName="/xl/comments6.xml" ContentType="application/vnd.openxmlformats-officedocument.spreadsheetml.comments+xml"/>
  <Override PartName="/xl/drawings/drawing6.xml" ContentType="application/vnd.openxmlformats-officedocument.drawing+xml"/>
  <Override PartName="/xl/tables/table8.xml" ContentType="application/vnd.openxmlformats-officedocument.spreadsheetml.table+xml"/>
  <Override PartName="/xl/comments7.xml" ContentType="application/vnd.openxmlformats-officedocument.spreadsheetml.comments+xml"/>
  <Override PartName="/xl/drawings/drawing7.xml" ContentType="application/vnd.openxmlformats-officedocument.drawing+xml"/>
  <Override PartName="/xl/tables/table9.xml" ContentType="application/vnd.openxmlformats-officedocument.spreadsheetml.table+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2TTBECKETMCUR7\grovesa$\"/>
    </mc:Choice>
  </mc:AlternateContent>
  <bookViews>
    <workbookView xWindow="0" yWindow="0" windowWidth="14370" windowHeight="7365" firstSheet="1" activeTab="1"/>
  </bookViews>
  <sheets>
    <sheet name="School Games Mark - KS2" sheetId="1" state="hidden" r:id="rId1"/>
    <sheet name="Tracker" sheetId="11" r:id="rId2"/>
    <sheet name="Year 1" sheetId="16" r:id="rId3"/>
    <sheet name="Year 2" sheetId="15" r:id="rId4"/>
    <sheet name="Year 3" sheetId="2" r:id="rId5"/>
    <sheet name="Year 4" sheetId="12" r:id="rId6"/>
    <sheet name="Year 5" sheetId="13" r:id="rId7"/>
    <sheet name="Year 6" sheetId="14" r:id="rId8"/>
    <sheet name="Lookups" sheetId="10" state="hidden" r:id="rId9"/>
  </sheets>
  <definedNames>
    <definedName name="Year1">Table1910[]</definedName>
    <definedName name="Year3" localSheetId="2">Table1910[]</definedName>
    <definedName name="Year3" localSheetId="3">Table19[]</definedName>
    <definedName name="Year3" localSheetId="5">Table16[]</definedName>
    <definedName name="Year3" localSheetId="6">Table167[]</definedName>
    <definedName name="Year3" localSheetId="7">Table1678[]</definedName>
    <definedName name="Year3">Table1[]</definedName>
    <definedName name="Year4">#REF!</definedName>
    <definedName name="Year5">#REF!</definedName>
    <definedName name="Year6">#REF!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1" l="1"/>
  <c r="D30" i="11"/>
  <c r="N41" i="11"/>
  <c r="L41" i="11"/>
  <c r="J41" i="11"/>
  <c r="H41" i="11"/>
  <c r="F41" i="11"/>
  <c r="D41" i="11"/>
  <c r="HH221" i="16"/>
  <c r="HG221" i="16"/>
  <c r="HF221" i="16"/>
  <c r="HF2" i="16" s="1"/>
  <c r="HE221" i="16"/>
  <c r="HD221" i="16"/>
  <c r="HC221" i="16"/>
  <c r="HB221" i="16"/>
  <c r="HB2" i="16" s="1"/>
  <c r="HA221" i="16"/>
  <c r="GZ221" i="16"/>
  <c r="GY221" i="16"/>
  <c r="GX221" i="16"/>
  <c r="GX2" i="16" s="1"/>
  <c r="GW221" i="16"/>
  <c r="GV221" i="16"/>
  <c r="GU221" i="16"/>
  <c r="GT221" i="16"/>
  <c r="GT2" i="16" s="1"/>
  <c r="GS221" i="16"/>
  <c r="GR221" i="16"/>
  <c r="GQ221" i="16"/>
  <c r="GP221" i="16"/>
  <c r="GP2" i="16" s="1"/>
  <c r="GO221" i="16"/>
  <c r="GN221" i="16"/>
  <c r="GM221" i="16"/>
  <c r="GL221" i="16"/>
  <c r="GL2" i="16" s="1"/>
  <c r="GK221" i="16"/>
  <c r="GJ221" i="16"/>
  <c r="GI221" i="16"/>
  <c r="GH221" i="16"/>
  <c r="GH2" i="16" s="1"/>
  <c r="GG221" i="16"/>
  <c r="GF221" i="16"/>
  <c r="GE221" i="16"/>
  <c r="GD221" i="16"/>
  <c r="GD2" i="16" s="1"/>
  <c r="GC221" i="16"/>
  <c r="GB221" i="16"/>
  <c r="GA221" i="16"/>
  <c r="FZ221" i="16"/>
  <c r="FZ2" i="16" s="1"/>
  <c r="FY221" i="16"/>
  <c r="FX221" i="16"/>
  <c r="FW221" i="16"/>
  <c r="FV221" i="16"/>
  <c r="FV2" i="16" s="1"/>
  <c r="FU221" i="16"/>
  <c r="FT221" i="16"/>
  <c r="FS221" i="16"/>
  <c r="FR221" i="16"/>
  <c r="FR2" i="16" s="1"/>
  <c r="FQ221" i="16"/>
  <c r="FP221" i="16"/>
  <c r="FO221" i="16"/>
  <c r="FN221" i="16"/>
  <c r="FN2" i="16" s="1"/>
  <c r="FM221" i="16"/>
  <c r="FL221" i="16"/>
  <c r="FK221" i="16"/>
  <c r="FK2" i="16" s="1"/>
  <c r="FJ221" i="16"/>
  <c r="FJ2" i="16" s="1"/>
  <c r="FI221" i="16"/>
  <c r="FH221" i="16"/>
  <c r="FG221" i="16"/>
  <c r="FF221" i="16"/>
  <c r="FF2" i="16" s="1"/>
  <c r="FE221" i="16"/>
  <c r="FD221" i="16"/>
  <c r="FC221" i="16"/>
  <c r="FB221" i="16"/>
  <c r="FB2" i="16" s="1"/>
  <c r="FA221" i="16"/>
  <c r="EZ221" i="16"/>
  <c r="EY221" i="16"/>
  <c r="EX221" i="16"/>
  <c r="EX2" i="16" s="1"/>
  <c r="EW221" i="16"/>
  <c r="EV221" i="16"/>
  <c r="EU221" i="16"/>
  <c r="ET221" i="16"/>
  <c r="ET2" i="16" s="1"/>
  <c r="ES221" i="16"/>
  <c r="ER221" i="16"/>
  <c r="EQ221" i="16"/>
  <c r="EP221" i="16"/>
  <c r="EP2" i="16" s="1"/>
  <c r="EO221" i="16"/>
  <c r="EN221" i="16"/>
  <c r="EM221" i="16"/>
  <c r="EL221" i="16"/>
  <c r="EL2" i="16" s="1"/>
  <c r="EK221" i="16"/>
  <c r="EJ221" i="16"/>
  <c r="EI221" i="16"/>
  <c r="EH221" i="16"/>
  <c r="EH2" i="16" s="1"/>
  <c r="EG221" i="16"/>
  <c r="EF221" i="16"/>
  <c r="EE221" i="16"/>
  <c r="ED221" i="16"/>
  <c r="ED2" i="16" s="1"/>
  <c r="EC221" i="16"/>
  <c r="EB221" i="16"/>
  <c r="EA221" i="16"/>
  <c r="DZ221" i="16"/>
  <c r="DZ2" i="16" s="1"/>
  <c r="DY221" i="16"/>
  <c r="DX221" i="16"/>
  <c r="DW221" i="16"/>
  <c r="DV221" i="16"/>
  <c r="DV2" i="16" s="1"/>
  <c r="DU221" i="16"/>
  <c r="DT221" i="16"/>
  <c r="DS221" i="16"/>
  <c r="DR221" i="16"/>
  <c r="DR2" i="16" s="1"/>
  <c r="DQ221" i="16"/>
  <c r="DQ2" i="16" s="1"/>
  <c r="DP221" i="16"/>
  <c r="DO221" i="16"/>
  <c r="DN221" i="16"/>
  <c r="DN2" i="16" s="1"/>
  <c r="DM221" i="16"/>
  <c r="DM2" i="16" s="1"/>
  <c r="DL221" i="16"/>
  <c r="DK221" i="16"/>
  <c r="DJ221" i="16"/>
  <c r="DJ2" i="16" s="1"/>
  <c r="DI221" i="16"/>
  <c r="DH221" i="16"/>
  <c r="DG221" i="16"/>
  <c r="DF221" i="16"/>
  <c r="DF2" i="16" s="1"/>
  <c r="DE221" i="16"/>
  <c r="DD221" i="16"/>
  <c r="DC221" i="16"/>
  <c r="DB221" i="16"/>
  <c r="DB2" i="16" s="1"/>
  <c r="DA221" i="16"/>
  <c r="CZ221" i="16"/>
  <c r="CY221" i="16"/>
  <c r="CX221" i="16"/>
  <c r="CX2" i="16" s="1"/>
  <c r="CW221" i="16"/>
  <c r="CV221" i="16"/>
  <c r="CU221" i="16"/>
  <c r="CT221" i="16"/>
  <c r="CT2" i="16" s="1"/>
  <c r="CS221" i="16"/>
  <c r="CR221" i="16"/>
  <c r="CQ221" i="16"/>
  <c r="CP221" i="16"/>
  <c r="CP2" i="16" s="1"/>
  <c r="CO221" i="16"/>
  <c r="CN221" i="16"/>
  <c r="CM221" i="16"/>
  <c r="CL221" i="16"/>
  <c r="CL2" i="16" s="1"/>
  <c r="CK221" i="16"/>
  <c r="CJ221" i="16"/>
  <c r="CI221" i="16"/>
  <c r="CH221" i="16"/>
  <c r="CH2" i="16" s="1"/>
  <c r="CG221" i="16"/>
  <c r="CF221" i="16"/>
  <c r="CE221" i="16"/>
  <c r="CD221" i="16"/>
  <c r="CD2" i="16" s="1"/>
  <c r="CC221" i="16"/>
  <c r="CB221" i="16"/>
  <c r="CA221" i="16"/>
  <c r="BZ221" i="16"/>
  <c r="BZ2" i="16" s="1"/>
  <c r="BY221" i="16"/>
  <c r="BX221" i="16"/>
  <c r="BW221" i="16"/>
  <c r="BW2" i="16" s="1"/>
  <c r="BV221" i="16"/>
  <c r="BV2" i="16" s="1"/>
  <c r="BU221" i="16"/>
  <c r="BT221" i="16"/>
  <c r="BS221" i="16"/>
  <c r="BR221" i="16"/>
  <c r="BR2" i="16" s="1"/>
  <c r="BQ221" i="16"/>
  <c r="BQ2" i="16" s="1"/>
  <c r="BP221" i="16"/>
  <c r="BO221" i="16"/>
  <c r="BO2" i="16" s="1"/>
  <c r="BN221" i="16"/>
  <c r="BM221" i="16"/>
  <c r="BL221" i="16"/>
  <c r="BK221" i="16"/>
  <c r="BJ221" i="16"/>
  <c r="BI221" i="16"/>
  <c r="BH221" i="16"/>
  <c r="BG221" i="16"/>
  <c r="BF221" i="16"/>
  <c r="BE221" i="16"/>
  <c r="BD221" i="16"/>
  <c r="BC221" i="16"/>
  <c r="BB221" i="16"/>
  <c r="BA221" i="16"/>
  <c r="AZ221" i="16"/>
  <c r="AY221" i="16"/>
  <c r="AX221" i="16"/>
  <c r="AW221" i="16"/>
  <c r="AV221" i="16"/>
  <c r="AU221" i="16"/>
  <c r="AT221" i="16"/>
  <c r="AS221" i="16"/>
  <c r="AR221" i="16"/>
  <c r="AQ221" i="16"/>
  <c r="AP221" i="16"/>
  <c r="AO221" i="16"/>
  <c r="AN221" i="16"/>
  <c r="AM221" i="16"/>
  <c r="AL221" i="16"/>
  <c r="AK221" i="16"/>
  <c r="AJ221" i="16"/>
  <c r="AI221" i="16"/>
  <c r="AH221" i="16"/>
  <c r="AG221" i="16"/>
  <c r="AF221" i="16"/>
  <c r="AE221" i="16"/>
  <c r="AD221" i="16"/>
  <c r="AC221" i="16"/>
  <c r="AB221" i="16"/>
  <c r="AA221" i="16"/>
  <c r="Z221" i="16"/>
  <c r="Y221" i="16"/>
  <c r="X221" i="16"/>
  <c r="W221" i="16"/>
  <c r="W2" i="16" s="1"/>
  <c r="V221" i="16"/>
  <c r="U221" i="16"/>
  <c r="U2" i="16" s="1"/>
  <c r="T221" i="16"/>
  <c r="T2" i="16" s="1"/>
  <c r="S221" i="16"/>
  <c r="S2" i="16" s="1"/>
  <c r="R221" i="16"/>
  <c r="R2" i="16" s="1"/>
  <c r="Q221" i="16"/>
  <c r="Q2" i="16" s="1"/>
  <c r="J221" i="16"/>
  <c r="J2" i="16" s="1"/>
  <c r="I221" i="16"/>
  <c r="I2" i="16" s="1"/>
  <c r="H221" i="16"/>
  <c r="H2" i="16" s="1"/>
  <c r="G221" i="16"/>
  <c r="F221" i="16"/>
  <c r="F2" i="16" s="1"/>
  <c r="E221" i="16"/>
  <c r="O220" i="16"/>
  <c r="N220" i="16"/>
  <c r="M220" i="16"/>
  <c r="L220" i="16"/>
  <c r="K220" i="16"/>
  <c r="O219" i="16"/>
  <c r="N219" i="16"/>
  <c r="M219" i="16"/>
  <c r="L219" i="16"/>
  <c r="K219" i="16"/>
  <c r="O218" i="16"/>
  <c r="N218" i="16"/>
  <c r="M218" i="16"/>
  <c r="L218" i="16"/>
  <c r="K218" i="16"/>
  <c r="O217" i="16"/>
  <c r="N217" i="16"/>
  <c r="M217" i="16"/>
  <c r="L217" i="16"/>
  <c r="K217" i="16"/>
  <c r="O216" i="16"/>
  <c r="N216" i="16"/>
  <c r="M216" i="16"/>
  <c r="L216" i="16"/>
  <c r="K216" i="16"/>
  <c r="O215" i="16"/>
  <c r="N215" i="16"/>
  <c r="M215" i="16"/>
  <c r="L215" i="16"/>
  <c r="K215" i="16"/>
  <c r="O214" i="16"/>
  <c r="N214" i="16"/>
  <c r="M214" i="16"/>
  <c r="L214" i="16"/>
  <c r="K214" i="16"/>
  <c r="O213" i="16"/>
  <c r="N213" i="16"/>
  <c r="M213" i="16"/>
  <c r="L213" i="16"/>
  <c r="K213" i="16"/>
  <c r="O212" i="16"/>
  <c r="N212" i="16"/>
  <c r="M212" i="16"/>
  <c r="L212" i="16"/>
  <c r="K212" i="16"/>
  <c r="O211" i="16"/>
  <c r="N211" i="16"/>
  <c r="M211" i="16"/>
  <c r="L211" i="16"/>
  <c r="K211" i="16"/>
  <c r="O210" i="16"/>
  <c r="N210" i="16"/>
  <c r="M210" i="16"/>
  <c r="L210" i="16"/>
  <c r="K210" i="16"/>
  <c r="O209" i="16"/>
  <c r="N209" i="16"/>
  <c r="M209" i="16"/>
  <c r="L209" i="16"/>
  <c r="K209" i="16"/>
  <c r="O208" i="16"/>
  <c r="N208" i="16"/>
  <c r="M208" i="16"/>
  <c r="L208" i="16"/>
  <c r="K208" i="16"/>
  <c r="O207" i="16"/>
  <c r="N207" i="16"/>
  <c r="M207" i="16"/>
  <c r="L207" i="16"/>
  <c r="K207" i="16"/>
  <c r="O206" i="16"/>
  <c r="N206" i="16"/>
  <c r="M206" i="16"/>
  <c r="L206" i="16"/>
  <c r="K206" i="16"/>
  <c r="O205" i="16"/>
  <c r="N205" i="16"/>
  <c r="M205" i="16"/>
  <c r="L205" i="16"/>
  <c r="K205" i="16"/>
  <c r="O204" i="16"/>
  <c r="N204" i="16"/>
  <c r="M204" i="16"/>
  <c r="L204" i="16"/>
  <c r="K204" i="16"/>
  <c r="O203" i="16"/>
  <c r="N203" i="16"/>
  <c r="M203" i="16"/>
  <c r="L203" i="16"/>
  <c r="K203" i="16"/>
  <c r="O202" i="16"/>
  <c r="N202" i="16"/>
  <c r="M202" i="16"/>
  <c r="L202" i="16"/>
  <c r="K202" i="16"/>
  <c r="O201" i="16"/>
  <c r="N201" i="16"/>
  <c r="M201" i="16"/>
  <c r="L201" i="16"/>
  <c r="K201" i="16"/>
  <c r="O200" i="16"/>
  <c r="N200" i="16"/>
  <c r="M200" i="16"/>
  <c r="L200" i="16"/>
  <c r="K200" i="16"/>
  <c r="O199" i="16"/>
  <c r="N199" i="16"/>
  <c r="M199" i="16"/>
  <c r="L199" i="16"/>
  <c r="K199" i="16"/>
  <c r="O198" i="16"/>
  <c r="N198" i="16"/>
  <c r="M198" i="16"/>
  <c r="L198" i="16"/>
  <c r="K198" i="16"/>
  <c r="O197" i="16"/>
  <c r="N197" i="16"/>
  <c r="M197" i="16"/>
  <c r="L197" i="16"/>
  <c r="K197" i="16"/>
  <c r="O196" i="16"/>
  <c r="N196" i="16"/>
  <c r="M196" i="16"/>
  <c r="L196" i="16"/>
  <c r="K196" i="16"/>
  <c r="O195" i="16"/>
  <c r="N195" i="16"/>
  <c r="M195" i="16"/>
  <c r="L195" i="16"/>
  <c r="K195" i="16"/>
  <c r="O194" i="16"/>
  <c r="N194" i="16"/>
  <c r="M194" i="16"/>
  <c r="L194" i="16"/>
  <c r="K194" i="16"/>
  <c r="O193" i="16"/>
  <c r="N193" i="16"/>
  <c r="M193" i="16"/>
  <c r="L193" i="16"/>
  <c r="K193" i="16"/>
  <c r="O192" i="16"/>
  <c r="N192" i="16"/>
  <c r="M192" i="16"/>
  <c r="L192" i="16"/>
  <c r="K192" i="16"/>
  <c r="O191" i="16"/>
  <c r="N191" i="16"/>
  <c r="M191" i="16"/>
  <c r="L191" i="16"/>
  <c r="K191" i="16"/>
  <c r="O190" i="16"/>
  <c r="N190" i="16"/>
  <c r="M190" i="16"/>
  <c r="L190" i="16"/>
  <c r="K190" i="16"/>
  <c r="O189" i="16"/>
  <c r="N189" i="16"/>
  <c r="M189" i="16"/>
  <c r="L189" i="16"/>
  <c r="K189" i="16"/>
  <c r="O188" i="16"/>
  <c r="N188" i="16"/>
  <c r="M188" i="16"/>
  <c r="L188" i="16"/>
  <c r="K188" i="16"/>
  <c r="O187" i="16"/>
  <c r="N187" i="16"/>
  <c r="M187" i="16"/>
  <c r="L187" i="16"/>
  <c r="K187" i="16"/>
  <c r="O186" i="16"/>
  <c r="N186" i="16"/>
  <c r="M186" i="16"/>
  <c r="L186" i="16"/>
  <c r="K186" i="16"/>
  <c r="O185" i="16"/>
  <c r="N185" i="16"/>
  <c r="M185" i="16"/>
  <c r="L185" i="16"/>
  <c r="K185" i="16"/>
  <c r="O184" i="16"/>
  <c r="N184" i="16"/>
  <c r="M184" i="16"/>
  <c r="L184" i="16"/>
  <c r="K184" i="16"/>
  <c r="O183" i="16"/>
  <c r="N183" i="16"/>
  <c r="M183" i="16"/>
  <c r="L183" i="16"/>
  <c r="K183" i="16"/>
  <c r="O182" i="16"/>
  <c r="N182" i="16"/>
  <c r="M182" i="16"/>
  <c r="L182" i="16"/>
  <c r="K182" i="16"/>
  <c r="O181" i="16"/>
  <c r="N181" i="16"/>
  <c r="M181" i="16"/>
  <c r="L181" i="16"/>
  <c r="K181" i="16"/>
  <c r="O180" i="16"/>
  <c r="N180" i="16"/>
  <c r="M180" i="16"/>
  <c r="L180" i="16"/>
  <c r="K180" i="16"/>
  <c r="O179" i="16"/>
  <c r="N179" i="16"/>
  <c r="M179" i="16"/>
  <c r="L179" i="16"/>
  <c r="K179" i="16"/>
  <c r="O178" i="16"/>
  <c r="N178" i="16"/>
  <c r="M178" i="16"/>
  <c r="L178" i="16"/>
  <c r="K178" i="16"/>
  <c r="O177" i="16"/>
  <c r="N177" i="16"/>
  <c r="M177" i="16"/>
  <c r="L177" i="16"/>
  <c r="K177" i="16"/>
  <c r="O176" i="16"/>
  <c r="N176" i="16"/>
  <c r="M176" i="16"/>
  <c r="L176" i="16"/>
  <c r="K176" i="16"/>
  <c r="O175" i="16"/>
  <c r="N175" i="16"/>
  <c r="M175" i="16"/>
  <c r="L175" i="16"/>
  <c r="K175" i="16"/>
  <c r="O174" i="16"/>
  <c r="N174" i="16"/>
  <c r="M174" i="16"/>
  <c r="L174" i="16"/>
  <c r="K174" i="16"/>
  <c r="O173" i="16"/>
  <c r="N173" i="16"/>
  <c r="M173" i="16"/>
  <c r="L173" i="16"/>
  <c r="K173" i="16"/>
  <c r="O172" i="16"/>
  <c r="N172" i="16"/>
  <c r="M172" i="16"/>
  <c r="L172" i="16"/>
  <c r="K172" i="16"/>
  <c r="O171" i="16"/>
  <c r="N171" i="16"/>
  <c r="M171" i="16"/>
  <c r="L171" i="16"/>
  <c r="K171" i="16"/>
  <c r="O170" i="16"/>
  <c r="N170" i="16"/>
  <c r="M170" i="16"/>
  <c r="L170" i="16"/>
  <c r="K170" i="16"/>
  <c r="O169" i="16"/>
  <c r="N169" i="16"/>
  <c r="M169" i="16"/>
  <c r="L169" i="16"/>
  <c r="K169" i="16"/>
  <c r="O168" i="16"/>
  <c r="N168" i="16"/>
  <c r="M168" i="16"/>
  <c r="L168" i="16"/>
  <c r="K168" i="16"/>
  <c r="O167" i="16"/>
  <c r="N167" i="16"/>
  <c r="M167" i="16"/>
  <c r="L167" i="16"/>
  <c r="K167" i="16"/>
  <c r="O166" i="16"/>
  <c r="N166" i="16"/>
  <c r="M166" i="16"/>
  <c r="L166" i="16"/>
  <c r="K166" i="16"/>
  <c r="O165" i="16"/>
  <c r="N165" i="16"/>
  <c r="M165" i="16"/>
  <c r="L165" i="16"/>
  <c r="K165" i="16"/>
  <c r="O164" i="16"/>
  <c r="N164" i="16"/>
  <c r="M164" i="16"/>
  <c r="L164" i="16"/>
  <c r="K164" i="16"/>
  <c r="O163" i="16"/>
  <c r="N163" i="16"/>
  <c r="M163" i="16"/>
  <c r="L163" i="16"/>
  <c r="K163" i="16"/>
  <c r="O162" i="16"/>
  <c r="N162" i="16"/>
  <c r="M162" i="16"/>
  <c r="L162" i="16"/>
  <c r="K162" i="16"/>
  <c r="O161" i="16"/>
  <c r="N161" i="16"/>
  <c r="M161" i="16"/>
  <c r="L161" i="16"/>
  <c r="K161" i="16"/>
  <c r="O160" i="16"/>
  <c r="N160" i="16"/>
  <c r="M160" i="16"/>
  <c r="L160" i="16"/>
  <c r="K160" i="16"/>
  <c r="O159" i="16"/>
  <c r="N159" i="16"/>
  <c r="M159" i="16"/>
  <c r="L159" i="16"/>
  <c r="K159" i="16"/>
  <c r="O158" i="16"/>
  <c r="N158" i="16"/>
  <c r="M158" i="16"/>
  <c r="L158" i="16"/>
  <c r="K158" i="16"/>
  <c r="O157" i="16"/>
  <c r="N157" i="16"/>
  <c r="M157" i="16"/>
  <c r="L157" i="16"/>
  <c r="K157" i="16"/>
  <c r="O156" i="16"/>
  <c r="N156" i="16"/>
  <c r="M156" i="16"/>
  <c r="L156" i="16"/>
  <c r="K156" i="16"/>
  <c r="O155" i="16"/>
  <c r="N155" i="16"/>
  <c r="M155" i="16"/>
  <c r="L155" i="16"/>
  <c r="K155" i="16"/>
  <c r="O154" i="16"/>
  <c r="N154" i="16"/>
  <c r="M154" i="16"/>
  <c r="L154" i="16"/>
  <c r="K154" i="16"/>
  <c r="O153" i="16"/>
  <c r="N153" i="16"/>
  <c r="M153" i="16"/>
  <c r="L153" i="16"/>
  <c r="K153" i="16"/>
  <c r="O152" i="16"/>
  <c r="N152" i="16"/>
  <c r="M152" i="16"/>
  <c r="L152" i="16"/>
  <c r="K152" i="16"/>
  <c r="O151" i="16"/>
  <c r="N151" i="16"/>
  <c r="M151" i="16"/>
  <c r="L151" i="16"/>
  <c r="K151" i="16"/>
  <c r="O150" i="16"/>
  <c r="N150" i="16"/>
  <c r="M150" i="16"/>
  <c r="L150" i="16"/>
  <c r="K150" i="16"/>
  <c r="O149" i="16"/>
  <c r="N149" i="16"/>
  <c r="M149" i="16"/>
  <c r="L149" i="16"/>
  <c r="K149" i="16"/>
  <c r="O148" i="16"/>
  <c r="N148" i="16"/>
  <c r="M148" i="16"/>
  <c r="L148" i="16"/>
  <c r="K148" i="16"/>
  <c r="O147" i="16"/>
  <c r="N147" i="16"/>
  <c r="M147" i="16"/>
  <c r="L147" i="16"/>
  <c r="K147" i="16"/>
  <c r="O146" i="16"/>
  <c r="N146" i="16"/>
  <c r="M146" i="16"/>
  <c r="L146" i="16"/>
  <c r="K146" i="16"/>
  <c r="O145" i="16"/>
  <c r="N145" i="16"/>
  <c r="M145" i="16"/>
  <c r="L145" i="16"/>
  <c r="K145" i="16"/>
  <c r="O144" i="16"/>
  <c r="N144" i="16"/>
  <c r="M144" i="16"/>
  <c r="L144" i="16"/>
  <c r="K144" i="16"/>
  <c r="O143" i="16"/>
  <c r="N143" i="16"/>
  <c r="M143" i="16"/>
  <c r="L143" i="16"/>
  <c r="K143" i="16"/>
  <c r="O142" i="16"/>
  <c r="N142" i="16"/>
  <c r="M142" i="16"/>
  <c r="L142" i="16"/>
  <c r="K142" i="16"/>
  <c r="O141" i="16"/>
  <c r="N141" i="16"/>
  <c r="M141" i="16"/>
  <c r="L141" i="16"/>
  <c r="K141" i="16"/>
  <c r="O140" i="16"/>
  <c r="N140" i="16"/>
  <c r="M140" i="16"/>
  <c r="L140" i="16"/>
  <c r="K140" i="16"/>
  <c r="O139" i="16"/>
  <c r="N139" i="16"/>
  <c r="M139" i="16"/>
  <c r="L139" i="16"/>
  <c r="K139" i="16"/>
  <c r="O138" i="16"/>
  <c r="N138" i="16"/>
  <c r="M138" i="16"/>
  <c r="L138" i="16"/>
  <c r="K138" i="16"/>
  <c r="O137" i="16"/>
  <c r="N137" i="16"/>
  <c r="M137" i="16"/>
  <c r="L137" i="16"/>
  <c r="K137" i="16"/>
  <c r="O136" i="16"/>
  <c r="N136" i="16"/>
  <c r="M136" i="16"/>
  <c r="L136" i="16"/>
  <c r="K136" i="16"/>
  <c r="O135" i="16"/>
  <c r="N135" i="16"/>
  <c r="M135" i="16"/>
  <c r="L135" i="16"/>
  <c r="K135" i="16"/>
  <c r="O134" i="16"/>
  <c r="N134" i="16"/>
  <c r="M134" i="16"/>
  <c r="L134" i="16"/>
  <c r="K134" i="16"/>
  <c r="O133" i="16"/>
  <c r="N133" i="16"/>
  <c r="M133" i="16"/>
  <c r="L133" i="16"/>
  <c r="K133" i="16"/>
  <c r="O132" i="16"/>
  <c r="N132" i="16"/>
  <c r="M132" i="16"/>
  <c r="L132" i="16"/>
  <c r="K132" i="16"/>
  <c r="O131" i="16"/>
  <c r="N131" i="16"/>
  <c r="M131" i="16"/>
  <c r="L131" i="16"/>
  <c r="K131" i="16"/>
  <c r="O130" i="16"/>
  <c r="N130" i="16"/>
  <c r="M130" i="16"/>
  <c r="L130" i="16"/>
  <c r="K130" i="16"/>
  <c r="O129" i="16"/>
  <c r="N129" i="16"/>
  <c r="M129" i="16"/>
  <c r="L129" i="16"/>
  <c r="K129" i="16"/>
  <c r="O128" i="16"/>
  <c r="N128" i="16"/>
  <c r="M128" i="16"/>
  <c r="L128" i="16"/>
  <c r="K128" i="16"/>
  <c r="O127" i="16"/>
  <c r="N127" i="16"/>
  <c r="M127" i="16"/>
  <c r="L127" i="16"/>
  <c r="K127" i="16"/>
  <c r="O126" i="16"/>
  <c r="N126" i="16"/>
  <c r="M126" i="16"/>
  <c r="L126" i="16"/>
  <c r="K126" i="16"/>
  <c r="O125" i="16"/>
  <c r="N125" i="16"/>
  <c r="M125" i="16"/>
  <c r="L125" i="16"/>
  <c r="K125" i="16"/>
  <c r="O124" i="16"/>
  <c r="N124" i="16"/>
  <c r="M124" i="16"/>
  <c r="L124" i="16"/>
  <c r="K124" i="16"/>
  <c r="O123" i="16"/>
  <c r="N123" i="16"/>
  <c r="M123" i="16"/>
  <c r="L123" i="16"/>
  <c r="K123" i="16"/>
  <c r="O122" i="16"/>
  <c r="N122" i="16"/>
  <c r="M122" i="16"/>
  <c r="L122" i="16"/>
  <c r="K122" i="16"/>
  <c r="O121" i="16"/>
  <c r="N121" i="16"/>
  <c r="M121" i="16"/>
  <c r="L121" i="16"/>
  <c r="K121" i="16"/>
  <c r="O120" i="16"/>
  <c r="N120" i="16"/>
  <c r="M120" i="16"/>
  <c r="L120" i="16"/>
  <c r="K120" i="16"/>
  <c r="O119" i="16"/>
  <c r="N119" i="16"/>
  <c r="M119" i="16"/>
  <c r="L119" i="16"/>
  <c r="K119" i="16"/>
  <c r="O118" i="16"/>
  <c r="N118" i="16"/>
  <c r="M118" i="16"/>
  <c r="L118" i="16"/>
  <c r="K118" i="16"/>
  <c r="O117" i="16"/>
  <c r="N117" i="16"/>
  <c r="M117" i="16"/>
  <c r="L117" i="16"/>
  <c r="K117" i="16"/>
  <c r="O116" i="16"/>
  <c r="N116" i="16"/>
  <c r="M116" i="16"/>
  <c r="L116" i="16"/>
  <c r="K116" i="16"/>
  <c r="O115" i="16"/>
  <c r="N115" i="16"/>
  <c r="M115" i="16"/>
  <c r="L115" i="16"/>
  <c r="K115" i="16"/>
  <c r="O114" i="16"/>
  <c r="N114" i="16"/>
  <c r="M114" i="16"/>
  <c r="L114" i="16"/>
  <c r="K114" i="16"/>
  <c r="O113" i="16"/>
  <c r="N113" i="16"/>
  <c r="M113" i="16"/>
  <c r="L113" i="16"/>
  <c r="K113" i="16"/>
  <c r="O112" i="16"/>
  <c r="N112" i="16"/>
  <c r="M112" i="16"/>
  <c r="L112" i="16"/>
  <c r="K112" i="16"/>
  <c r="O111" i="16"/>
  <c r="N111" i="16"/>
  <c r="M111" i="16"/>
  <c r="L111" i="16"/>
  <c r="K111" i="16"/>
  <c r="O110" i="16"/>
  <c r="N110" i="16"/>
  <c r="M110" i="16"/>
  <c r="L110" i="16"/>
  <c r="K110" i="16"/>
  <c r="O109" i="16"/>
  <c r="N109" i="16"/>
  <c r="M109" i="16"/>
  <c r="L109" i="16"/>
  <c r="K109" i="16"/>
  <c r="O108" i="16"/>
  <c r="N108" i="16"/>
  <c r="M108" i="16"/>
  <c r="L108" i="16"/>
  <c r="K108" i="16"/>
  <c r="O107" i="16"/>
  <c r="N107" i="16"/>
  <c r="M107" i="16"/>
  <c r="L107" i="16"/>
  <c r="K107" i="16"/>
  <c r="O106" i="16"/>
  <c r="N106" i="16"/>
  <c r="M106" i="16"/>
  <c r="L106" i="16"/>
  <c r="K106" i="16"/>
  <c r="O105" i="16"/>
  <c r="N105" i="16"/>
  <c r="M105" i="16"/>
  <c r="L105" i="16"/>
  <c r="K105" i="16"/>
  <c r="O104" i="16"/>
  <c r="N104" i="16"/>
  <c r="M104" i="16"/>
  <c r="L104" i="16"/>
  <c r="K104" i="16"/>
  <c r="O103" i="16"/>
  <c r="N103" i="16"/>
  <c r="M103" i="16"/>
  <c r="L103" i="16"/>
  <c r="K103" i="16"/>
  <c r="O102" i="16"/>
  <c r="N102" i="16"/>
  <c r="M102" i="16"/>
  <c r="L102" i="16"/>
  <c r="K102" i="16"/>
  <c r="O101" i="16"/>
  <c r="N101" i="16"/>
  <c r="M101" i="16"/>
  <c r="L101" i="16"/>
  <c r="K101" i="16"/>
  <c r="O100" i="16"/>
  <c r="N100" i="16"/>
  <c r="M100" i="16"/>
  <c r="L100" i="16"/>
  <c r="K100" i="16"/>
  <c r="O99" i="16"/>
  <c r="N99" i="16"/>
  <c r="M99" i="16"/>
  <c r="L99" i="16"/>
  <c r="K99" i="16"/>
  <c r="O98" i="16"/>
  <c r="N98" i="16"/>
  <c r="M98" i="16"/>
  <c r="L98" i="16"/>
  <c r="K98" i="16"/>
  <c r="O97" i="16"/>
  <c r="N97" i="16"/>
  <c r="M97" i="16"/>
  <c r="L97" i="16"/>
  <c r="K97" i="16"/>
  <c r="O96" i="16"/>
  <c r="N96" i="16"/>
  <c r="M96" i="16"/>
  <c r="L96" i="16"/>
  <c r="K96" i="16"/>
  <c r="O95" i="16"/>
  <c r="N95" i="16"/>
  <c r="M95" i="16"/>
  <c r="L95" i="16"/>
  <c r="K95" i="16"/>
  <c r="O94" i="16"/>
  <c r="N94" i="16"/>
  <c r="M94" i="16"/>
  <c r="L94" i="16"/>
  <c r="K94" i="16"/>
  <c r="O93" i="16"/>
  <c r="N93" i="16"/>
  <c r="M93" i="16"/>
  <c r="L93" i="16"/>
  <c r="K93" i="16"/>
  <c r="O92" i="16"/>
  <c r="N92" i="16"/>
  <c r="M92" i="16"/>
  <c r="L92" i="16"/>
  <c r="K92" i="16"/>
  <c r="O91" i="16"/>
  <c r="N91" i="16"/>
  <c r="M91" i="16"/>
  <c r="L91" i="16"/>
  <c r="K91" i="16"/>
  <c r="O90" i="16"/>
  <c r="N90" i="16"/>
  <c r="M90" i="16"/>
  <c r="L90" i="16"/>
  <c r="K90" i="16"/>
  <c r="O89" i="16"/>
  <c r="N89" i="16"/>
  <c r="M89" i="16"/>
  <c r="L89" i="16"/>
  <c r="K89" i="16"/>
  <c r="O88" i="16"/>
  <c r="N88" i="16"/>
  <c r="M88" i="16"/>
  <c r="L88" i="16"/>
  <c r="K88" i="16"/>
  <c r="O87" i="16"/>
  <c r="N87" i="16"/>
  <c r="M87" i="16"/>
  <c r="L87" i="16"/>
  <c r="K87" i="16"/>
  <c r="O86" i="16"/>
  <c r="N86" i="16"/>
  <c r="M86" i="16"/>
  <c r="L86" i="16"/>
  <c r="K86" i="16"/>
  <c r="O85" i="16"/>
  <c r="N85" i="16"/>
  <c r="M85" i="16"/>
  <c r="L85" i="16"/>
  <c r="K85" i="16"/>
  <c r="O84" i="16"/>
  <c r="N84" i="16"/>
  <c r="M84" i="16"/>
  <c r="L84" i="16"/>
  <c r="K84" i="16"/>
  <c r="O83" i="16"/>
  <c r="N83" i="16"/>
  <c r="M83" i="16"/>
  <c r="L83" i="16"/>
  <c r="K83" i="16"/>
  <c r="O82" i="16"/>
  <c r="N82" i="16"/>
  <c r="M82" i="16"/>
  <c r="L82" i="16"/>
  <c r="K82" i="16"/>
  <c r="O81" i="16"/>
  <c r="N81" i="16"/>
  <c r="M81" i="16"/>
  <c r="L81" i="16"/>
  <c r="K81" i="16"/>
  <c r="O80" i="16"/>
  <c r="N80" i="16"/>
  <c r="M80" i="16"/>
  <c r="L80" i="16"/>
  <c r="K80" i="16"/>
  <c r="O79" i="16"/>
  <c r="N79" i="16"/>
  <c r="M79" i="16"/>
  <c r="L79" i="16"/>
  <c r="K79" i="16"/>
  <c r="O78" i="16"/>
  <c r="N78" i="16"/>
  <c r="M78" i="16"/>
  <c r="L78" i="16"/>
  <c r="K78" i="16"/>
  <c r="O77" i="16"/>
  <c r="N77" i="16"/>
  <c r="M77" i="16"/>
  <c r="L77" i="16"/>
  <c r="K77" i="16"/>
  <c r="O76" i="16"/>
  <c r="N76" i="16"/>
  <c r="M76" i="16"/>
  <c r="L76" i="16"/>
  <c r="K76" i="16"/>
  <c r="O75" i="16"/>
  <c r="N75" i="16"/>
  <c r="M75" i="16"/>
  <c r="L75" i="16"/>
  <c r="K75" i="16"/>
  <c r="O74" i="16"/>
  <c r="N74" i="16"/>
  <c r="M74" i="16"/>
  <c r="L74" i="16"/>
  <c r="K74" i="16"/>
  <c r="O73" i="16"/>
  <c r="N73" i="16"/>
  <c r="M73" i="16"/>
  <c r="L73" i="16"/>
  <c r="K73" i="16"/>
  <c r="O72" i="16"/>
  <c r="N72" i="16"/>
  <c r="M72" i="16"/>
  <c r="L72" i="16"/>
  <c r="K72" i="16"/>
  <c r="O71" i="16"/>
  <c r="N71" i="16"/>
  <c r="M71" i="16"/>
  <c r="L71" i="16"/>
  <c r="K71" i="16"/>
  <c r="O70" i="16"/>
  <c r="N70" i="16"/>
  <c r="M70" i="16"/>
  <c r="L70" i="16"/>
  <c r="K70" i="16"/>
  <c r="O69" i="16"/>
  <c r="N69" i="16"/>
  <c r="M69" i="16"/>
  <c r="L69" i="16"/>
  <c r="K69" i="16"/>
  <c r="O68" i="16"/>
  <c r="N68" i="16"/>
  <c r="M68" i="16"/>
  <c r="L68" i="16"/>
  <c r="K68" i="16"/>
  <c r="O67" i="16"/>
  <c r="N67" i="16"/>
  <c r="M67" i="16"/>
  <c r="L67" i="16"/>
  <c r="K67" i="16"/>
  <c r="O66" i="16"/>
  <c r="N66" i="16"/>
  <c r="M66" i="16"/>
  <c r="L66" i="16"/>
  <c r="K66" i="16"/>
  <c r="O65" i="16"/>
  <c r="N65" i="16"/>
  <c r="M65" i="16"/>
  <c r="L65" i="16"/>
  <c r="K65" i="16"/>
  <c r="O64" i="16"/>
  <c r="N64" i="16"/>
  <c r="M64" i="16"/>
  <c r="L64" i="16"/>
  <c r="K64" i="16"/>
  <c r="O63" i="16"/>
  <c r="N63" i="16"/>
  <c r="M63" i="16"/>
  <c r="L63" i="16"/>
  <c r="K63" i="16"/>
  <c r="O62" i="16"/>
  <c r="N62" i="16"/>
  <c r="M62" i="16"/>
  <c r="L62" i="16"/>
  <c r="K62" i="16"/>
  <c r="O61" i="16"/>
  <c r="N61" i="16"/>
  <c r="M61" i="16"/>
  <c r="L61" i="16"/>
  <c r="K61" i="16"/>
  <c r="O60" i="16"/>
  <c r="N60" i="16"/>
  <c r="M60" i="16"/>
  <c r="L60" i="16"/>
  <c r="K60" i="16"/>
  <c r="O59" i="16"/>
  <c r="N59" i="16"/>
  <c r="M59" i="16"/>
  <c r="L59" i="16"/>
  <c r="K59" i="16"/>
  <c r="O58" i="16"/>
  <c r="N58" i="16"/>
  <c r="M58" i="16"/>
  <c r="L58" i="16"/>
  <c r="K58" i="16"/>
  <c r="O57" i="16"/>
  <c r="N57" i="16"/>
  <c r="M57" i="16"/>
  <c r="L57" i="16"/>
  <c r="K57" i="16"/>
  <c r="O56" i="16"/>
  <c r="N56" i="16"/>
  <c r="M56" i="16"/>
  <c r="L56" i="16"/>
  <c r="K56" i="16"/>
  <c r="O55" i="16"/>
  <c r="N55" i="16"/>
  <c r="M55" i="16"/>
  <c r="L55" i="16"/>
  <c r="K55" i="16"/>
  <c r="O54" i="16"/>
  <c r="N54" i="16"/>
  <c r="M54" i="16"/>
  <c r="L54" i="16"/>
  <c r="K54" i="16"/>
  <c r="O53" i="16"/>
  <c r="N53" i="16"/>
  <c r="M53" i="16"/>
  <c r="L53" i="16"/>
  <c r="K53" i="16"/>
  <c r="O52" i="16"/>
  <c r="N52" i="16"/>
  <c r="M52" i="16"/>
  <c r="L52" i="16"/>
  <c r="K52" i="16"/>
  <c r="O51" i="16"/>
  <c r="N51" i="16"/>
  <c r="M51" i="16"/>
  <c r="L51" i="16"/>
  <c r="K51" i="16"/>
  <c r="O50" i="16"/>
  <c r="N50" i="16"/>
  <c r="M50" i="16"/>
  <c r="L50" i="16"/>
  <c r="K50" i="16"/>
  <c r="O49" i="16"/>
  <c r="N49" i="16"/>
  <c r="M49" i="16"/>
  <c r="L49" i="16"/>
  <c r="K49" i="16"/>
  <c r="O48" i="16"/>
  <c r="N48" i="16"/>
  <c r="M48" i="16"/>
  <c r="L48" i="16"/>
  <c r="K48" i="16"/>
  <c r="O47" i="16"/>
  <c r="N47" i="16"/>
  <c r="M47" i="16"/>
  <c r="L47" i="16"/>
  <c r="K47" i="16"/>
  <c r="O46" i="16"/>
  <c r="N46" i="16"/>
  <c r="M46" i="16"/>
  <c r="L46" i="16"/>
  <c r="K46" i="16"/>
  <c r="O45" i="16"/>
  <c r="N45" i="16"/>
  <c r="M45" i="16"/>
  <c r="L45" i="16"/>
  <c r="K45" i="16"/>
  <c r="O44" i="16"/>
  <c r="N44" i="16"/>
  <c r="M44" i="16"/>
  <c r="L44" i="16"/>
  <c r="K44" i="16"/>
  <c r="O43" i="16"/>
  <c r="N43" i="16"/>
  <c r="M43" i="16"/>
  <c r="L43" i="16"/>
  <c r="K43" i="16"/>
  <c r="O42" i="16"/>
  <c r="N42" i="16"/>
  <c r="M42" i="16"/>
  <c r="L42" i="16"/>
  <c r="K42" i="16"/>
  <c r="O41" i="16"/>
  <c r="N41" i="16"/>
  <c r="M41" i="16"/>
  <c r="L41" i="16"/>
  <c r="K41" i="16"/>
  <c r="O40" i="16"/>
  <c r="N40" i="16"/>
  <c r="M40" i="16"/>
  <c r="L40" i="16"/>
  <c r="K40" i="16"/>
  <c r="O39" i="16"/>
  <c r="N39" i="16"/>
  <c r="M39" i="16"/>
  <c r="L39" i="16"/>
  <c r="K39" i="16"/>
  <c r="O38" i="16"/>
  <c r="N38" i="16"/>
  <c r="M38" i="16"/>
  <c r="L38" i="16"/>
  <c r="K38" i="16"/>
  <c r="O37" i="16"/>
  <c r="N37" i="16"/>
  <c r="M37" i="16"/>
  <c r="L37" i="16"/>
  <c r="K37" i="16"/>
  <c r="O36" i="16"/>
  <c r="N36" i="16"/>
  <c r="M36" i="16"/>
  <c r="L36" i="16"/>
  <c r="K36" i="16"/>
  <c r="O35" i="16"/>
  <c r="N35" i="16"/>
  <c r="M35" i="16"/>
  <c r="L35" i="16"/>
  <c r="K35" i="16"/>
  <c r="O34" i="16"/>
  <c r="N34" i="16"/>
  <c r="M34" i="16"/>
  <c r="L34" i="16"/>
  <c r="K34" i="16"/>
  <c r="O33" i="16"/>
  <c r="N33" i="16"/>
  <c r="M33" i="16"/>
  <c r="L33" i="16"/>
  <c r="K33" i="16"/>
  <c r="O32" i="16"/>
  <c r="N32" i="16"/>
  <c r="M32" i="16"/>
  <c r="L32" i="16"/>
  <c r="K32" i="16"/>
  <c r="O31" i="16"/>
  <c r="N31" i="16"/>
  <c r="M31" i="16"/>
  <c r="L31" i="16"/>
  <c r="K31" i="16"/>
  <c r="O30" i="16"/>
  <c r="N30" i="16"/>
  <c r="M30" i="16"/>
  <c r="L30" i="16"/>
  <c r="K30" i="16"/>
  <c r="O29" i="16"/>
  <c r="N29" i="16"/>
  <c r="M29" i="16"/>
  <c r="L29" i="16"/>
  <c r="K29" i="16"/>
  <c r="O28" i="16"/>
  <c r="N28" i="16"/>
  <c r="M28" i="16"/>
  <c r="L28" i="16"/>
  <c r="K28" i="16"/>
  <c r="O27" i="16"/>
  <c r="N27" i="16"/>
  <c r="M27" i="16"/>
  <c r="L27" i="16"/>
  <c r="K27" i="16"/>
  <c r="O26" i="16"/>
  <c r="N26" i="16"/>
  <c r="M26" i="16"/>
  <c r="L26" i="16"/>
  <c r="K26" i="16"/>
  <c r="O25" i="16"/>
  <c r="N25" i="16"/>
  <c r="M25" i="16"/>
  <c r="L25" i="16"/>
  <c r="K25" i="16"/>
  <c r="O24" i="16"/>
  <c r="N24" i="16"/>
  <c r="M24" i="16"/>
  <c r="L24" i="16"/>
  <c r="K24" i="16"/>
  <c r="O23" i="16"/>
  <c r="N23" i="16"/>
  <c r="M23" i="16"/>
  <c r="L23" i="16"/>
  <c r="K23" i="16"/>
  <c r="O22" i="16"/>
  <c r="N22" i="16"/>
  <c r="M22" i="16"/>
  <c r="L22" i="16"/>
  <c r="K22" i="16"/>
  <c r="O21" i="16"/>
  <c r="N21" i="16"/>
  <c r="M21" i="16"/>
  <c r="L21" i="16"/>
  <c r="K21" i="16"/>
  <c r="O20" i="16"/>
  <c r="N20" i="16"/>
  <c r="M20" i="16"/>
  <c r="L20" i="16"/>
  <c r="K20" i="16"/>
  <c r="O19" i="16"/>
  <c r="N19" i="16"/>
  <c r="M19" i="16"/>
  <c r="L19" i="16"/>
  <c r="K19" i="16"/>
  <c r="O18" i="16"/>
  <c r="N18" i="16"/>
  <c r="M18" i="16"/>
  <c r="L18" i="16"/>
  <c r="K18" i="16"/>
  <c r="O17" i="16"/>
  <c r="N17" i="16"/>
  <c r="M17" i="16"/>
  <c r="L17" i="16"/>
  <c r="K17" i="16"/>
  <c r="O16" i="16"/>
  <c r="N16" i="16"/>
  <c r="M16" i="16"/>
  <c r="L16" i="16"/>
  <c r="K16" i="16"/>
  <c r="O15" i="16"/>
  <c r="N15" i="16"/>
  <c r="M15" i="16"/>
  <c r="L15" i="16"/>
  <c r="K15" i="16"/>
  <c r="O14" i="16"/>
  <c r="N14" i="16"/>
  <c r="M14" i="16"/>
  <c r="L14" i="16"/>
  <c r="K14" i="16"/>
  <c r="O13" i="16"/>
  <c r="N13" i="16"/>
  <c r="M13" i="16"/>
  <c r="L13" i="16"/>
  <c r="K13" i="16"/>
  <c r="O12" i="16"/>
  <c r="N12" i="16"/>
  <c r="M12" i="16"/>
  <c r="L12" i="16"/>
  <c r="K12" i="16"/>
  <c r="O11" i="16"/>
  <c r="N11" i="16"/>
  <c r="M11" i="16"/>
  <c r="L11" i="16"/>
  <c r="K11" i="16"/>
  <c r="O10" i="16"/>
  <c r="N10" i="16"/>
  <c r="M10" i="16"/>
  <c r="L10" i="16"/>
  <c r="K10" i="16"/>
  <c r="O9" i="16"/>
  <c r="N9" i="16"/>
  <c r="M9" i="16"/>
  <c r="L9" i="16"/>
  <c r="K9" i="16"/>
  <c r="O8" i="16"/>
  <c r="N8" i="16"/>
  <c r="M8" i="16"/>
  <c r="L8" i="16"/>
  <c r="K8" i="16"/>
  <c r="O7" i="16"/>
  <c r="N7" i="16"/>
  <c r="M7" i="16"/>
  <c r="L7" i="16"/>
  <c r="K7" i="16"/>
  <c r="O6" i="16"/>
  <c r="N6" i="16"/>
  <c r="M6" i="16"/>
  <c r="L6" i="16"/>
  <c r="K6" i="16"/>
  <c r="O5" i="16"/>
  <c r="N5" i="16"/>
  <c r="M5" i="16"/>
  <c r="L5" i="16"/>
  <c r="K5" i="16"/>
  <c r="O4" i="16"/>
  <c r="N4" i="16"/>
  <c r="M4" i="16"/>
  <c r="L4" i="16"/>
  <c r="K4" i="16"/>
  <c r="HH2" i="16"/>
  <c r="HG2" i="16"/>
  <c r="HE2" i="16"/>
  <c r="HD2" i="16"/>
  <c r="HC2" i="16"/>
  <c r="HA2" i="16"/>
  <c r="GZ2" i="16"/>
  <c r="GY2" i="16"/>
  <c r="GW2" i="16"/>
  <c r="GV2" i="16"/>
  <c r="GU2" i="16"/>
  <c r="GS2" i="16"/>
  <c r="GR2" i="16"/>
  <c r="GQ2" i="16"/>
  <c r="GO2" i="16"/>
  <c r="GN2" i="16"/>
  <c r="GM2" i="16"/>
  <c r="GK2" i="16"/>
  <c r="GJ2" i="16"/>
  <c r="GI2" i="16"/>
  <c r="GG2" i="16"/>
  <c r="GF2" i="16"/>
  <c r="GE2" i="16"/>
  <c r="GC2" i="16"/>
  <c r="GB2" i="16"/>
  <c r="GA2" i="16"/>
  <c r="FY2" i="16"/>
  <c r="FX2" i="16"/>
  <c r="FW2" i="16"/>
  <c r="FU2" i="16"/>
  <c r="FT2" i="16"/>
  <c r="FS2" i="16"/>
  <c r="FQ2" i="16"/>
  <c r="FP2" i="16"/>
  <c r="FO2" i="16"/>
  <c r="FM2" i="16"/>
  <c r="FL2" i="16"/>
  <c r="FI2" i="16"/>
  <c r="FH2" i="16"/>
  <c r="FG2" i="16"/>
  <c r="FE2" i="16"/>
  <c r="FD2" i="16"/>
  <c r="FC2" i="16"/>
  <c r="FA2" i="16"/>
  <c r="EZ2" i="16"/>
  <c r="EY2" i="16"/>
  <c r="EW2" i="16"/>
  <c r="EV2" i="16"/>
  <c r="EU2" i="16"/>
  <c r="ES2" i="16"/>
  <c r="ER2" i="16"/>
  <c r="EQ2" i="16"/>
  <c r="EO2" i="16"/>
  <c r="EN2" i="16"/>
  <c r="EM2" i="16"/>
  <c r="EK2" i="16"/>
  <c r="EJ2" i="16"/>
  <c r="EI2" i="16"/>
  <c r="EG2" i="16"/>
  <c r="EF2" i="16"/>
  <c r="EE2" i="16"/>
  <c r="EC2" i="16"/>
  <c r="EB2" i="16"/>
  <c r="EA2" i="16"/>
  <c r="DY2" i="16"/>
  <c r="DX2" i="16"/>
  <c r="DW2" i="16"/>
  <c r="DU2" i="16"/>
  <c r="DT2" i="16"/>
  <c r="DS2" i="16"/>
  <c r="DP2" i="16"/>
  <c r="DO2" i="16"/>
  <c r="DL2" i="16"/>
  <c r="DK2" i="16"/>
  <c r="DI2" i="16"/>
  <c r="DH2" i="16"/>
  <c r="DG2" i="16"/>
  <c r="DE2" i="16"/>
  <c r="DD2" i="16"/>
  <c r="DC2" i="16"/>
  <c r="DA2" i="16"/>
  <c r="CZ2" i="16"/>
  <c r="CY2" i="16"/>
  <c r="CW2" i="16"/>
  <c r="CV2" i="16"/>
  <c r="CU2" i="16"/>
  <c r="CS2" i="16"/>
  <c r="CR2" i="16"/>
  <c r="CQ2" i="16"/>
  <c r="CO2" i="16"/>
  <c r="CN2" i="16"/>
  <c r="CM2" i="16"/>
  <c r="CK2" i="16"/>
  <c r="CJ2" i="16"/>
  <c r="CI2" i="16"/>
  <c r="CG2" i="16"/>
  <c r="CF2" i="16"/>
  <c r="CE2" i="16"/>
  <c r="CC2" i="16"/>
  <c r="CB2" i="16"/>
  <c r="CA2" i="16"/>
  <c r="BY2" i="16"/>
  <c r="BX2" i="16"/>
  <c r="BU2" i="16"/>
  <c r="BT2" i="16"/>
  <c r="BS2" i="16"/>
  <c r="BP2" i="16"/>
  <c r="BN2" i="16"/>
  <c r="BM2" i="16"/>
  <c r="BL2" i="16"/>
  <c r="BK2" i="16"/>
  <c r="BJ2" i="16"/>
  <c r="BI2" i="16"/>
  <c r="BH2" i="16"/>
  <c r="BG2" i="16"/>
  <c r="BF2" i="16"/>
  <c r="BE2" i="16"/>
  <c r="BD2" i="16"/>
  <c r="BC2" i="16"/>
  <c r="BB2" i="16"/>
  <c r="BA2" i="16"/>
  <c r="AZ2" i="16"/>
  <c r="AY2" i="16"/>
  <c r="AX2" i="16"/>
  <c r="AW2" i="16"/>
  <c r="AV2" i="16"/>
  <c r="AU2" i="16"/>
  <c r="AT2" i="16"/>
  <c r="AS2" i="16"/>
  <c r="AR2" i="16"/>
  <c r="AQ2" i="16"/>
  <c r="AP2" i="16"/>
  <c r="AO2" i="16"/>
  <c r="AN2" i="16"/>
  <c r="AM2" i="16"/>
  <c r="AL2" i="16"/>
  <c r="AK2" i="16"/>
  <c r="AJ2" i="16"/>
  <c r="AI2" i="16"/>
  <c r="AH2" i="16"/>
  <c r="AG2" i="16"/>
  <c r="AF2" i="16"/>
  <c r="AE2" i="16"/>
  <c r="AD2" i="16"/>
  <c r="AC2" i="16"/>
  <c r="AB2" i="16"/>
  <c r="AA2" i="16"/>
  <c r="Z2" i="16"/>
  <c r="Y2" i="16"/>
  <c r="X2" i="16"/>
  <c r="V2" i="16"/>
  <c r="G2" i="16"/>
  <c r="E2" i="16"/>
  <c r="HH221" i="15"/>
  <c r="HG221" i="15"/>
  <c r="HG2" i="15" s="1"/>
  <c r="HF221" i="15"/>
  <c r="HF2" i="15" s="1"/>
  <c r="HE221" i="15"/>
  <c r="HE2" i="15" s="1"/>
  <c r="HD221" i="15"/>
  <c r="HC221" i="15"/>
  <c r="HC2" i="15" s="1"/>
  <c r="HB221" i="15"/>
  <c r="HA221" i="15"/>
  <c r="HA2" i="15" s="1"/>
  <c r="GZ221" i="15"/>
  <c r="GY221" i="15"/>
  <c r="GY2" i="15" s="1"/>
  <c r="GX221" i="15"/>
  <c r="GX2" i="15" s="1"/>
  <c r="GW221" i="15"/>
  <c r="GV221" i="15"/>
  <c r="GU221" i="15"/>
  <c r="GU2" i="15" s="1"/>
  <c r="GT221" i="15"/>
  <c r="GT2" i="15" s="1"/>
  <c r="GS221" i="15"/>
  <c r="GS2" i="15" s="1"/>
  <c r="GR221" i="15"/>
  <c r="GQ221" i="15"/>
  <c r="GQ2" i="15" s="1"/>
  <c r="GP221" i="15"/>
  <c r="GP2" i="15" s="1"/>
  <c r="GO221" i="15"/>
  <c r="GO2" i="15" s="1"/>
  <c r="GN221" i="15"/>
  <c r="GM221" i="15"/>
  <c r="GM2" i="15" s="1"/>
  <c r="GL221" i="15"/>
  <c r="GL2" i="15" s="1"/>
  <c r="GK221" i="15"/>
  <c r="GK2" i="15" s="1"/>
  <c r="GJ221" i="15"/>
  <c r="GI221" i="15"/>
  <c r="GI2" i="15" s="1"/>
  <c r="GH221" i="15"/>
  <c r="GH2" i="15" s="1"/>
  <c r="GG221" i="15"/>
  <c r="GF221" i="15"/>
  <c r="GE221" i="15"/>
  <c r="GE2" i="15" s="1"/>
  <c r="GD221" i="15"/>
  <c r="GD2" i="15" s="1"/>
  <c r="GC221" i="15"/>
  <c r="GC2" i="15" s="1"/>
  <c r="GB221" i="15"/>
  <c r="GA221" i="15"/>
  <c r="GA2" i="15" s="1"/>
  <c r="FZ221" i="15"/>
  <c r="FY221" i="15"/>
  <c r="FY2" i="15" s="1"/>
  <c r="FX221" i="15"/>
  <c r="FW221" i="15"/>
  <c r="FW2" i="15" s="1"/>
  <c r="FV221" i="15"/>
  <c r="FV2" i="15" s="1"/>
  <c r="FU221" i="15"/>
  <c r="FU2" i="15" s="1"/>
  <c r="FT221" i="15"/>
  <c r="FS221" i="15"/>
  <c r="FS2" i="15" s="1"/>
  <c r="FR221" i="15"/>
  <c r="FQ221" i="15"/>
  <c r="FP221" i="15"/>
  <c r="FO221" i="15"/>
  <c r="FO2" i="15" s="1"/>
  <c r="FN221" i="15"/>
  <c r="FN2" i="15" s="1"/>
  <c r="FM221" i="15"/>
  <c r="FM2" i="15" s="1"/>
  <c r="FL221" i="15"/>
  <c r="FK221" i="15"/>
  <c r="FK2" i="15" s="1"/>
  <c r="FJ221" i="15"/>
  <c r="FJ2" i="15" s="1"/>
  <c r="FI221" i="15"/>
  <c r="FI2" i="15" s="1"/>
  <c r="FH221" i="15"/>
  <c r="FG221" i="15"/>
  <c r="FG2" i="15" s="1"/>
  <c r="FF221" i="15"/>
  <c r="FF2" i="15" s="1"/>
  <c r="FE221" i="15"/>
  <c r="FE2" i="15" s="1"/>
  <c r="FD221" i="15"/>
  <c r="FC221" i="15"/>
  <c r="FC2" i="15" s="1"/>
  <c r="FB221" i="15"/>
  <c r="FB2" i="15" s="1"/>
  <c r="FA221" i="15"/>
  <c r="EZ221" i="15"/>
  <c r="EY221" i="15"/>
  <c r="EY2" i="15" s="1"/>
  <c r="EX221" i="15"/>
  <c r="EW221" i="15"/>
  <c r="EW2" i="15" s="1"/>
  <c r="EV221" i="15"/>
  <c r="EU221" i="15"/>
  <c r="EU2" i="15" s="1"/>
  <c r="ET221" i="15"/>
  <c r="ET2" i="15" s="1"/>
  <c r="ES221" i="15"/>
  <c r="ES2" i="15" s="1"/>
  <c r="ER221" i="15"/>
  <c r="EQ221" i="15"/>
  <c r="EQ2" i="15" s="1"/>
  <c r="EP221" i="15"/>
  <c r="EO221" i="15"/>
  <c r="EO2" i="15" s="1"/>
  <c r="EN221" i="15"/>
  <c r="EM221" i="15"/>
  <c r="EM2" i="15" s="1"/>
  <c r="EL221" i="15"/>
  <c r="EL2" i="15" s="1"/>
  <c r="EK221" i="15"/>
  <c r="EJ221" i="15"/>
  <c r="EI221" i="15"/>
  <c r="EI2" i="15" s="1"/>
  <c r="EH221" i="15"/>
  <c r="EH2" i="15" s="1"/>
  <c r="EG221" i="15"/>
  <c r="EG2" i="15" s="1"/>
  <c r="EF221" i="15"/>
  <c r="EE221" i="15"/>
  <c r="EE2" i="15" s="1"/>
  <c r="ED221" i="15"/>
  <c r="ED2" i="15" s="1"/>
  <c r="EC221" i="15"/>
  <c r="EC2" i="15" s="1"/>
  <c r="EB221" i="15"/>
  <c r="EA221" i="15"/>
  <c r="EA2" i="15" s="1"/>
  <c r="DZ221" i="15"/>
  <c r="DZ2" i="15" s="1"/>
  <c r="DY221" i="15"/>
  <c r="DY2" i="15" s="1"/>
  <c r="DX221" i="15"/>
  <c r="DW221" i="15"/>
  <c r="DW2" i="15" s="1"/>
  <c r="DV221" i="15"/>
  <c r="DV2" i="15" s="1"/>
  <c r="DU221" i="15"/>
  <c r="DT221" i="15"/>
  <c r="DS221" i="15"/>
  <c r="DS2" i="15" s="1"/>
  <c r="DR221" i="15"/>
  <c r="DR2" i="15" s="1"/>
  <c r="DQ221" i="15"/>
  <c r="DQ2" i="15" s="1"/>
  <c r="DP221" i="15"/>
  <c r="DO221" i="15"/>
  <c r="DO2" i="15" s="1"/>
  <c r="DN221" i="15"/>
  <c r="DM221" i="15"/>
  <c r="DM2" i="15" s="1"/>
  <c r="DL221" i="15"/>
  <c r="DK221" i="15"/>
  <c r="DK2" i="15" s="1"/>
  <c r="DJ221" i="15"/>
  <c r="DJ2" i="15" s="1"/>
  <c r="DI221" i="15"/>
  <c r="DI2" i="15" s="1"/>
  <c r="DH221" i="15"/>
  <c r="DG221" i="15"/>
  <c r="DG2" i="15" s="1"/>
  <c r="DF221" i="15"/>
  <c r="DE221" i="15"/>
  <c r="DD221" i="15"/>
  <c r="DC221" i="15"/>
  <c r="DC2" i="15" s="1"/>
  <c r="DB221" i="15"/>
  <c r="DB2" i="15" s="1"/>
  <c r="DA221" i="15"/>
  <c r="DA2" i="15" s="1"/>
  <c r="CZ221" i="15"/>
  <c r="CY221" i="15"/>
  <c r="CY2" i="15" s="1"/>
  <c r="CX221" i="15"/>
  <c r="CX2" i="15" s="1"/>
  <c r="CW221" i="15"/>
  <c r="CW2" i="15" s="1"/>
  <c r="CV221" i="15"/>
  <c r="CU221" i="15"/>
  <c r="CU2" i="15" s="1"/>
  <c r="CT221" i="15"/>
  <c r="CT2" i="15" s="1"/>
  <c r="CS221" i="15"/>
  <c r="CS2" i="15" s="1"/>
  <c r="CR221" i="15"/>
  <c r="CQ221" i="15"/>
  <c r="CQ2" i="15" s="1"/>
  <c r="CP221" i="15"/>
  <c r="CP2" i="15" s="1"/>
  <c r="CO221" i="15"/>
  <c r="CN221" i="15"/>
  <c r="CM221" i="15"/>
  <c r="CM2" i="15" s="1"/>
  <c r="CL221" i="15"/>
  <c r="CK221" i="15"/>
  <c r="CK2" i="15" s="1"/>
  <c r="CJ221" i="15"/>
  <c r="CI221" i="15"/>
  <c r="CI2" i="15" s="1"/>
  <c r="CH221" i="15"/>
  <c r="CH2" i="15" s="1"/>
  <c r="CG221" i="15"/>
  <c r="CG2" i="15" s="1"/>
  <c r="CF221" i="15"/>
  <c r="CE221" i="15"/>
  <c r="CE2" i="15" s="1"/>
  <c r="CD221" i="15"/>
  <c r="CC221" i="15"/>
  <c r="CC2" i="15" s="1"/>
  <c r="CB221" i="15"/>
  <c r="CA221" i="15"/>
  <c r="CA2" i="15" s="1"/>
  <c r="BZ221" i="15"/>
  <c r="BZ2" i="15" s="1"/>
  <c r="BY221" i="15"/>
  <c r="BX221" i="15"/>
  <c r="BW221" i="15"/>
  <c r="BW2" i="15" s="1"/>
  <c r="BV221" i="15"/>
  <c r="BV2" i="15" s="1"/>
  <c r="BU221" i="15"/>
  <c r="BU2" i="15" s="1"/>
  <c r="BT221" i="15"/>
  <c r="BS221" i="15"/>
  <c r="BS2" i="15" s="1"/>
  <c r="BR221" i="15"/>
  <c r="BR2" i="15" s="1"/>
  <c r="BQ221" i="15"/>
  <c r="BQ2" i="15" s="1"/>
  <c r="BP221" i="15"/>
  <c r="BO221" i="15"/>
  <c r="BO2" i="15" s="1"/>
  <c r="BN221" i="15"/>
  <c r="BM221" i="15"/>
  <c r="BM2" i="15" s="1"/>
  <c r="BL221" i="15"/>
  <c r="BK221" i="15"/>
  <c r="BK2" i="15" s="1"/>
  <c r="BJ221" i="15"/>
  <c r="BJ2" i="15" s="1"/>
  <c r="BI221" i="15"/>
  <c r="BH221" i="15"/>
  <c r="BG221" i="15"/>
  <c r="BG2" i="15" s="1"/>
  <c r="BF221" i="15"/>
  <c r="BF2" i="15" s="1"/>
  <c r="BE221" i="15"/>
  <c r="BE2" i="15" s="1"/>
  <c r="BD221" i="15"/>
  <c r="BC221" i="15"/>
  <c r="BC2" i="15" s="1"/>
  <c r="BB221" i="15"/>
  <c r="BB2" i="15" s="1"/>
  <c r="BA221" i="15"/>
  <c r="BA2" i="15" s="1"/>
  <c r="AZ221" i="15"/>
  <c r="AY221" i="15"/>
  <c r="AY2" i="15" s="1"/>
  <c r="AX221" i="15"/>
  <c r="AX2" i="15" s="1"/>
  <c r="AW221" i="15"/>
  <c r="AW2" i="15" s="1"/>
  <c r="AV221" i="15"/>
  <c r="AU221" i="15"/>
  <c r="AU2" i="15" s="1"/>
  <c r="AT221" i="15"/>
  <c r="AT2" i="15" s="1"/>
  <c r="AS221" i="15"/>
  <c r="AR221" i="15"/>
  <c r="AQ221" i="15"/>
  <c r="AQ2" i="15" s="1"/>
  <c r="AP221" i="15"/>
  <c r="AP2" i="15" s="1"/>
  <c r="AO221" i="15"/>
  <c r="AO2" i="15" s="1"/>
  <c r="AN221" i="15"/>
  <c r="AM221" i="15"/>
  <c r="AM2" i="15" s="1"/>
  <c r="AL221" i="15"/>
  <c r="AK221" i="15"/>
  <c r="AK2" i="15" s="1"/>
  <c r="AJ221" i="15"/>
  <c r="AI221" i="15"/>
  <c r="AI2" i="15" s="1"/>
  <c r="AH221" i="15"/>
  <c r="AH2" i="15" s="1"/>
  <c r="AG221" i="15"/>
  <c r="AG2" i="15" s="1"/>
  <c r="AF221" i="15"/>
  <c r="AE221" i="15"/>
  <c r="AE2" i="15" s="1"/>
  <c r="AD221" i="15"/>
  <c r="AC221" i="15"/>
  <c r="AB221" i="15"/>
  <c r="AA221" i="15"/>
  <c r="AA2" i="15" s="1"/>
  <c r="Z221" i="15"/>
  <c r="Z2" i="15" s="1"/>
  <c r="Y221" i="15"/>
  <c r="Y2" i="15" s="1"/>
  <c r="X221" i="15"/>
  <c r="W221" i="15"/>
  <c r="W2" i="15" s="1"/>
  <c r="V221" i="15"/>
  <c r="V2" i="15" s="1"/>
  <c r="U221" i="15"/>
  <c r="U2" i="15" s="1"/>
  <c r="T221" i="15"/>
  <c r="T2" i="15" s="1"/>
  <c r="S221" i="15"/>
  <c r="S2" i="15" s="1"/>
  <c r="R221" i="15"/>
  <c r="R2" i="15" s="1"/>
  <c r="Q221" i="15"/>
  <c r="Q2" i="15" s="1"/>
  <c r="J221" i="15"/>
  <c r="J2" i="15" s="1"/>
  <c r="I221" i="15"/>
  <c r="I2" i="15" s="1"/>
  <c r="H221" i="15"/>
  <c r="H2" i="15" s="1"/>
  <c r="G221" i="15"/>
  <c r="G2" i="15" s="1"/>
  <c r="F221" i="15"/>
  <c r="E221" i="15"/>
  <c r="E2" i="15" s="1"/>
  <c r="O220" i="15"/>
  <c r="N220" i="15"/>
  <c r="M220" i="15"/>
  <c r="L220" i="15"/>
  <c r="K220" i="15"/>
  <c r="O219" i="15"/>
  <c r="N219" i="15"/>
  <c r="M219" i="15"/>
  <c r="L219" i="15"/>
  <c r="K219" i="15"/>
  <c r="O218" i="15"/>
  <c r="N218" i="15"/>
  <c r="M218" i="15"/>
  <c r="L218" i="15"/>
  <c r="K218" i="15"/>
  <c r="O217" i="15"/>
  <c r="N217" i="15"/>
  <c r="M217" i="15"/>
  <c r="L217" i="15"/>
  <c r="K217" i="15"/>
  <c r="O216" i="15"/>
  <c r="N216" i="15"/>
  <c r="M216" i="15"/>
  <c r="L216" i="15"/>
  <c r="K216" i="15"/>
  <c r="O215" i="15"/>
  <c r="N215" i="15"/>
  <c r="M215" i="15"/>
  <c r="L215" i="15"/>
  <c r="K215" i="15"/>
  <c r="O214" i="15"/>
  <c r="N214" i="15"/>
  <c r="M214" i="15"/>
  <c r="L214" i="15"/>
  <c r="K214" i="15"/>
  <c r="O213" i="15"/>
  <c r="N213" i="15"/>
  <c r="M213" i="15"/>
  <c r="L213" i="15"/>
  <c r="K213" i="15"/>
  <c r="O212" i="15"/>
  <c r="N212" i="15"/>
  <c r="M212" i="15"/>
  <c r="L212" i="15"/>
  <c r="K212" i="15"/>
  <c r="O211" i="15"/>
  <c r="N211" i="15"/>
  <c r="M211" i="15"/>
  <c r="L211" i="15"/>
  <c r="K211" i="15"/>
  <c r="O210" i="15"/>
  <c r="N210" i="15"/>
  <c r="M210" i="15"/>
  <c r="L210" i="15"/>
  <c r="K210" i="15"/>
  <c r="O209" i="15"/>
  <c r="N209" i="15"/>
  <c r="M209" i="15"/>
  <c r="L209" i="15"/>
  <c r="K209" i="15"/>
  <c r="O208" i="15"/>
  <c r="N208" i="15"/>
  <c r="M208" i="15"/>
  <c r="L208" i="15"/>
  <c r="K208" i="15"/>
  <c r="O207" i="15"/>
  <c r="N207" i="15"/>
  <c r="M207" i="15"/>
  <c r="L207" i="15"/>
  <c r="K207" i="15"/>
  <c r="O206" i="15"/>
  <c r="N206" i="15"/>
  <c r="M206" i="15"/>
  <c r="L206" i="15"/>
  <c r="K206" i="15"/>
  <c r="O205" i="15"/>
  <c r="N205" i="15"/>
  <c r="M205" i="15"/>
  <c r="L205" i="15"/>
  <c r="K205" i="15"/>
  <c r="O204" i="15"/>
  <c r="N204" i="15"/>
  <c r="M204" i="15"/>
  <c r="L204" i="15"/>
  <c r="K204" i="15"/>
  <c r="O203" i="15"/>
  <c r="N203" i="15"/>
  <c r="M203" i="15"/>
  <c r="L203" i="15"/>
  <c r="K203" i="15"/>
  <c r="O202" i="15"/>
  <c r="N202" i="15"/>
  <c r="M202" i="15"/>
  <c r="L202" i="15"/>
  <c r="K202" i="15"/>
  <c r="O201" i="15"/>
  <c r="N201" i="15"/>
  <c r="M201" i="15"/>
  <c r="L201" i="15"/>
  <c r="K201" i="15"/>
  <c r="O200" i="15"/>
  <c r="N200" i="15"/>
  <c r="M200" i="15"/>
  <c r="L200" i="15"/>
  <c r="K200" i="15"/>
  <c r="O199" i="15"/>
  <c r="N199" i="15"/>
  <c r="M199" i="15"/>
  <c r="L199" i="15"/>
  <c r="K199" i="15"/>
  <c r="O198" i="15"/>
  <c r="N198" i="15"/>
  <c r="M198" i="15"/>
  <c r="L198" i="15"/>
  <c r="K198" i="15"/>
  <c r="O197" i="15"/>
  <c r="N197" i="15"/>
  <c r="M197" i="15"/>
  <c r="L197" i="15"/>
  <c r="K197" i="15"/>
  <c r="O196" i="15"/>
  <c r="N196" i="15"/>
  <c r="M196" i="15"/>
  <c r="L196" i="15"/>
  <c r="K196" i="15"/>
  <c r="O195" i="15"/>
  <c r="N195" i="15"/>
  <c r="M195" i="15"/>
  <c r="L195" i="15"/>
  <c r="K195" i="15"/>
  <c r="O194" i="15"/>
  <c r="N194" i="15"/>
  <c r="M194" i="15"/>
  <c r="L194" i="15"/>
  <c r="K194" i="15"/>
  <c r="O193" i="15"/>
  <c r="N193" i="15"/>
  <c r="M193" i="15"/>
  <c r="L193" i="15"/>
  <c r="K193" i="15"/>
  <c r="O192" i="15"/>
  <c r="N192" i="15"/>
  <c r="M192" i="15"/>
  <c r="L192" i="15"/>
  <c r="K192" i="15"/>
  <c r="O191" i="15"/>
  <c r="N191" i="15"/>
  <c r="M191" i="15"/>
  <c r="L191" i="15"/>
  <c r="K191" i="15"/>
  <c r="O190" i="15"/>
  <c r="N190" i="15"/>
  <c r="M190" i="15"/>
  <c r="L190" i="15"/>
  <c r="K190" i="15"/>
  <c r="O189" i="15"/>
  <c r="N189" i="15"/>
  <c r="M189" i="15"/>
  <c r="L189" i="15"/>
  <c r="K189" i="15"/>
  <c r="O188" i="15"/>
  <c r="N188" i="15"/>
  <c r="M188" i="15"/>
  <c r="L188" i="15"/>
  <c r="K188" i="15"/>
  <c r="O187" i="15"/>
  <c r="N187" i="15"/>
  <c r="M187" i="15"/>
  <c r="L187" i="15"/>
  <c r="K187" i="15"/>
  <c r="O186" i="15"/>
  <c r="N186" i="15"/>
  <c r="M186" i="15"/>
  <c r="L186" i="15"/>
  <c r="K186" i="15"/>
  <c r="O185" i="15"/>
  <c r="N185" i="15"/>
  <c r="M185" i="15"/>
  <c r="L185" i="15"/>
  <c r="K185" i="15"/>
  <c r="O184" i="15"/>
  <c r="N184" i="15"/>
  <c r="M184" i="15"/>
  <c r="L184" i="15"/>
  <c r="K184" i="15"/>
  <c r="O183" i="15"/>
  <c r="N183" i="15"/>
  <c r="M183" i="15"/>
  <c r="L183" i="15"/>
  <c r="K183" i="15"/>
  <c r="O182" i="15"/>
  <c r="N182" i="15"/>
  <c r="M182" i="15"/>
  <c r="L182" i="15"/>
  <c r="K182" i="15"/>
  <c r="O181" i="15"/>
  <c r="N181" i="15"/>
  <c r="M181" i="15"/>
  <c r="L181" i="15"/>
  <c r="K181" i="15"/>
  <c r="O180" i="15"/>
  <c r="N180" i="15"/>
  <c r="M180" i="15"/>
  <c r="L180" i="15"/>
  <c r="K180" i="15"/>
  <c r="O179" i="15"/>
  <c r="N179" i="15"/>
  <c r="M179" i="15"/>
  <c r="L179" i="15"/>
  <c r="K179" i="15"/>
  <c r="O178" i="15"/>
  <c r="N178" i="15"/>
  <c r="M178" i="15"/>
  <c r="L178" i="15"/>
  <c r="K178" i="15"/>
  <c r="O177" i="15"/>
  <c r="N177" i="15"/>
  <c r="M177" i="15"/>
  <c r="L177" i="15"/>
  <c r="K177" i="15"/>
  <c r="O176" i="15"/>
  <c r="N176" i="15"/>
  <c r="M176" i="15"/>
  <c r="L176" i="15"/>
  <c r="K176" i="15"/>
  <c r="O175" i="15"/>
  <c r="N175" i="15"/>
  <c r="M175" i="15"/>
  <c r="L175" i="15"/>
  <c r="K175" i="15"/>
  <c r="O174" i="15"/>
  <c r="N174" i="15"/>
  <c r="M174" i="15"/>
  <c r="L174" i="15"/>
  <c r="K174" i="15"/>
  <c r="O173" i="15"/>
  <c r="N173" i="15"/>
  <c r="M173" i="15"/>
  <c r="L173" i="15"/>
  <c r="K173" i="15"/>
  <c r="O172" i="15"/>
  <c r="N172" i="15"/>
  <c r="M172" i="15"/>
  <c r="L172" i="15"/>
  <c r="K172" i="15"/>
  <c r="O171" i="15"/>
  <c r="N171" i="15"/>
  <c r="M171" i="15"/>
  <c r="L171" i="15"/>
  <c r="K171" i="15"/>
  <c r="O170" i="15"/>
  <c r="N170" i="15"/>
  <c r="M170" i="15"/>
  <c r="L170" i="15"/>
  <c r="K170" i="15"/>
  <c r="O169" i="15"/>
  <c r="N169" i="15"/>
  <c r="M169" i="15"/>
  <c r="L169" i="15"/>
  <c r="K169" i="15"/>
  <c r="O168" i="15"/>
  <c r="N168" i="15"/>
  <c r="M168" i="15"/>
  <c r="L168" i="15"/>
  <c r="K168" i="15"/>
  <c r="O167" i="15"/>
  <c r="N167" i="15"/>
  <c r="M167" i="15"/>
  <c r="L167" i="15"/>
  <c r="K167" i="15"/>
  <c r="O166" i="15"/>
  <c r="N166" i="15"/>
  <c r="M166" i="15"/>
  <c r="L166" i="15"/>
  <c r="K166" i="15"/>
  <c r="O165" i="15"/>
  <c r="N165" i="15"/>
  <c r="M165" i="15"/>
  <c r="L165" i="15"/>
  <c r="K165" i="15"/>
  <c r="O164" i="15"/>
  <c r="N164" i="15"/>
  <c r="M164" i="15"/>
  <c r="L164" i="15"/>
  <c r="K164" i="15"/>
  <c r="O163" i="15"/>
  <c r="N163" i="15"/>
  <c r="M163" i="15"/>
  <c r="L163" i="15"/>
  <c r="K163" i="15"/>
  <c r="O162" i="15"/>
  <c r="N162" i="15"/>
  <c r="M162" i="15"/>
  <c r="L162" i="15"/>
  <c r="K162" i="15"/>
  <c r="O161" i="15"/>
  <c r="N161" i="15"/>
  <c r="M161" i="15"/>
  <c r="L161" i="15"/>
  <c r="K161" i="15"/>
  <c r="O160" i="15"/>
  <c r="N160" i="15"/>
  <c r="M160" i="15"/>
  <c r="L160" i="15"/>
  <c r="K160" i="15"/>
  <c r="O159" i="15"/>
  <c r="N159" i="15"/>
  <c r="M159" i="15"/>
  <c r="L159" i="15"/>
  <c r="K159" i="15"/>
  <c r="O158" i="15"/>
  <c r="N158" i="15"/>
  <c r="M158" i="15"/>
  <c r="L158" i="15"/>
  <c r="K158" i="15"/>
  <c r="O157" i="15"/>
  <c r="N157" i="15"/>
  <c r="M157" i="15"/>
  <c r="L157" i="15"/>
  <c r="K157" i="15"/>
  <c r="O156" i="15"/>
  <c r="N156" i="15"/>
  <c r="M156" i="15"/>
  <c r="L156" i="15"/>
  <c r="K156" i="15"/>
  <c r="O155" i="15"/>
  <c r="N155" i="15"/>
  <c r="M155" i="15"/>
  <c r="L155" i="15"/>
  <c r="K155" i="15"/>
  <c r="O154" i="15"/>
  <c r="N154" i="15"/>
  <c r="M154" i="15"/>
  <c r="L154" i="15"/>
  <c r="K154" i="15"/>
  <c r="O153" i="15"/>
  <c r="N153" i="15"/>
  <c r="M153" i="15"/>
  <c r="L153" i="15"/>
  <c r="K153" i="15"/>
  <c r="O152" i="15"/>
  <c r="N152" i="15"/>
  <c r="M152" i="15"/>
  <c r="L152" i="15"/>
  <c r="K152" i="15"/>
  <c r="O151" i="15"/>
  <c r="N151" i="15"/>
  <c r="M151" i="15"/>
  <c r="L151" i="15"/>
  <c r="K151" i="15"/>
  <c r="O150" i="15"/>
  <c r="N150" i="15"/>
  <c r="M150" i="15"/>
  <c r="L150" i="15"/>
  <c r="K150" i="15"/>
  <c r="O149" i="15"/>
  <c r="N149" i="15"/>
  <c r="M149" i="15"/>
  <c r="L149" i="15"/>
  <c r="K149" i="15"/>
  <c r="O148" i="15"/>
  <c r="N148" i="15"/>
  <c r="M148" i="15"/>
  <c r="L148" i="15"/>
  <c r="K148" i="15"/>
  <c r="O147" i="15"/>
  <c r="N147" i="15"/>
  <c r="M147" i="15"/>
  <c r="L147" i="15"/>
  <c r="K147" i="15"/>
  <c r="O146" i="15"/>
  <c r="N146" i="15"/>
  <c r="M146" i="15"/>
  <c r="L146" i="15"/>
  <c r="K146" i="15"/>
  <c r="O145" i="15"/>
  <c r="N145" i="15"/>
  <c r="M145" i="15"/>
  <c r="L145" i="15"/>
  <c r="K145" i="15"/>
  <c r="O144" i="15"/>
  <c r="N144" i="15"/>
  <c r="M144" i="15"/>
  <c r="L144" i="15"/>
  <c r="K144" i="15"/>
  <c r="O143" i="15"/>
  <c r="N143" i="15"/>
  <c r="M143" i="15"/>
  <c r="L143" i="15"/>
  <c r="K143" i="15"/>
  <c r="O142" i="15"/>
  <c r="N142" i="15"/>
  <c r="M142" i="15"/>
  <c r="L142" i="15"/>
  <c r="K142" i="15"/>
  <c r="O141" i="15"/>
  <c r="N141" i="15"/>
  <c r="M141" i="15"/>
  <c r="L141" i="15"/>
  <c r="K141" i="15"/>
  <c r="O140" i="15"/>
  <c r="N140" i="15"/>
  <c r="M140" i="15"/>
  <c r="L140" i="15"/>
  <c r="K140" i="15"/>
  <c r="O139" i="15"/>
  <c r="N139" i="15"/>
  <c r="M139" i="15"/>
  <c r="L139" i="15"/>
  <c r="K139" i="15"/>
  <c r="O138" i="15"/>
  <c r="N138" i="15"/>
  <c r="M138" i="15"/>
  <c r="L138" i="15"/>
  <c r="K138" i="15"/>
  <c r="O137" i="15"/>
  <c r="N137" i="15"/>
  <c r="M137" i="15"/>
  <c r="L137" i="15"/>
  <c r="K137" i="15"/>
  <c r="O136" i="15"/>
  <c r="N136" i="15"/>
  <c r="M136" i="15"/>
  <c r="L136" i="15"/>
  <c r="K136" i="15"/>
  <c r="O135" i="15"/>
  <c r="N135" i="15"/>
  <c r="M135" i="15"/>
  <c r="L135" i="15"/>
  <c r="K135" i="15"/>
  <c r="O134" i="15"/>
  <c r="N134" i="15"/>
  <c r="M134" i="15"/>
  <c r="L134" i="15"/>
  <c r="K134" i="15"/>
  <c r="O133" i="15"/>
  <c r="N133" i="15"/>
  <c r="M133" i="15"/>
  <c r="L133" i="15"/>
  <c r="K133" i="15"/>
  <c r="O132" i="15"/>
  <c r="N132" i="15"/>
  <c r="M132" i="15"/>
  <c r="L132" i="15"/>
  <c r="K132" i="15"/>
  <c r="O131" i="15"/>
  <c r="N131" i="15"/>
  <c r="M131" i="15"/>
  <c r="L131" i="15"/>
  <c r="K131" i="15"/>
  <c r="O130" i="15"/>
  <c r="N130" i="15"/>
  <c r="M130" i="15"/>
  <c r="L130" i="15"/>
  <c r="K130" i="15"/>
  <c r="O129" i="15"/>
  <c r="N129" i="15"/>
  <c r="M129" i="15"/>
  <c r="L129" i="15"/>
  <c r="K129" i="15"/>
  <c r="O128" i="15"/>
  <c r="N128" i="15"/>
  <c r="M128" i="15"/>
  <c r="L128" i="15"/>
  <c r="K128" i="15"/>
  <c r="O127" i="15"/>
  <c r="N127" i="15"/>
  <c r="M127" i="15"/>
  <c r="L127" i="15"/>
  <c r="K127" i="15"/>
  <c r="O126" i="15"/>
  <c r="N126" i="15"/>
  <c r="M126" i="15"/>
  <c r="L126" i="15"/>
  <c r="K126" i="15"/>
  <c r="O125" i="15"/>
  <c r="N125" i="15"/>
  <c r="M125" i="15"/>
  <c r="L125" i="15"/>
  <c r="K125" i="15"/>
  <c r="O124" i="15"/>
  <c r="N124" i="15"/>
  <c r="M124" i="15"/>
  <c r="L124" i="15"/>
  <c r="K124" i="15"/>
  <c r="O123" i="15"/>
  <c r="N123" i="15"/>
  <c r="M123" i="15"/>
  <c r="L123" i="15"/>
  <c r="K123" i="15"/>
  <c r="O122" i="15"/>
  <c r="N122" i="15"/>
  <c r="M122" i="15"/>
  <c r="L122" i="15"/>
  <c r="K122" i="15"/>
  <c r="O121" i="15"/>
  <c r="N121" i="15"/>
  <c r="M121" i="15"/>
  <c r="L121" i="15"/>
  <c r="K121" i="15"/>
  <c r="O120" i="15"/>
  <c r="N120" i="15"/>
  <c r="M120" i="15"/>
  <c r="L120" i="15"/>
  <c r="K120" i="15"/>
  <c r="O119" i="15"/>
  <c r="N119" i="15"/>
  <c r="M119" i="15"/>
  <c r="L119" i="15"/>
  <c r="K119" i="15"/>
  <c r="O118" i="15"/>
  <c r="N118" i="15"/>
  <c r="M118" i="15"/>
  <c r="L118" i="15"/>
  <c r="K118" i="15"/>
  <c r="O117" i="15"/>
  <c r="N117" i="15"/>
  <c r="M117" i="15"/>
  <c r="L117" i="15"/>
  <c r="K117" i="15"/>
  <c r="O116" i="15"/>
  <c r="N116" i="15"/>
  <c r="M116" i="15"/>
  <c r="L116" i="15"/>
  <c r="K116" i="15"/>
  <c r="O115" i="15"/>
  <c r="N115" i="15"/>
  <c r="M115" i="15"/>
  <c r="L115" i="15"/>
  <c r="K115" i="15"/>
  <c r="O114" i="15"/>
  <c r="N114" i="15"/>
  <c r="M114" i="15"/>
  <c r="L114" i="15"/>
  <c r="K114" i="15"/>
  <c r="O113" i="15"/>
  <c r="N113" i="15"/>
  <c r="M113" i="15"/>
  <c r="L113" i="15"/>
  <c r="K113" i="15"/>
  <c r="O112" i="15"/>
  <c r="N112" i="15"/>
  <c r="M112" i="15"/>
  <c r="L112" i="15"/>
  <c r="K112" i="15"/>
  <c r="O111" i="15"/>
  <c r="N111" i="15"/>
  <c r="M111" i="15"/>
  <c r="L111" i="15"/>
  <c r="K111" i="15"/>
  <c r="O110" i="15"/>
  <c r="N110" i="15"/>
  <c r="M110" i="15"/>
  <c r="L110" i="15"/>
  <c r="K110" i="15"/>
  <c r="O109" i="15"/>
  <c r="N109" i="15"/>
  <c r="M109" i="15"/>
  <c r="L109" i="15"/>
  <c r="K109" i="15"/>
  <c r="O108" i="15"/>
  <c r="N108" i="15"/>
  <c r="M108" i="15"/>
  <c r="L108" i="15"/>
  <c r="K108" i="15"/>
  <c r="O107" i="15"/>
  <c r="N107" i="15"/>
  <c r="M107" i="15"/>
  <c r="L107" i="15"/>
  <c r="K107" i="15"/>
  <c r="O106" i="15"/>
  <c r="N106" i="15"/>
  <c r="M106" i="15"/>
  <c r="L106" i="15"/>
  <c r="K106" i="15"/>
  <c r="O105" i="15"/>
  <c r="N105" i="15"/>
  <c r="M105" i="15"/>
  <c r="L105" i="15"/>
  <c r="K105" i="15"/>
  <c r="O104" i="15"/>
  <c r="N104" i="15"/>
  <c r="M104" i="15"/>
  <c r="L104" i="15"/>
  <c r="K104" i="15"/>
  <c r="O103" i="15"/>
  <c r="N103" i="15"/>
  <c r="M103" i="15"/>
  <c r="L103" i="15"/>
  <c r="K103" i="15"/>
  <c r="O102" i="15"/>
  <c r="N102" i="15"/>
  <c r="M102" i="15"/>
  <c r="L102" i="15"/>
  <c r="K102" i="15"/>
  <c r="O101" i="15"/>
  <c r="N101" i="15"/>
  <c r="M101" i="15"/>
  <c r="L101" i="15"/>
  <c r="K101" i="15"/>
  <c r="O100" i="15"/>
  <c r="N100" i="15"/>
  <c r="M100" i="15"/>
  <c r="L100" i="15"/>
  <c r="K100" i="15"/>
  <c r="O99" i="15"/>
  <c r="N99" i="15"/>
  <c r="M99" i="15"/>
  <c r="L99" i="15"/>
  <c r="K99" i="15"/>
  <c r="O98" i="15"/>
  <c r="N98" i="15"/>
  <c r="M98" i="15"/>
  <c r="L98" i="15"/>
  <c r="K98" i="15"/>
  <c r="O97" i="15"/>
  <c r="N97" i="15"/>
  <c r="M97" i="15"/>
  <c r="L97" i="15"/>
  <c r="K97" i="15"/>
  <c r="O96" i="15"/>
  <c r="N96" i="15"/>
  <c r="M96" i="15"/>
  <c r="L96" i="15"/>
  <c r="K96" i="15"/>
  <c r="O95" i="15"/>
  <c r="N95" i="15"/>
  <c r="M95" i="15"/>
  <c r="L95" i="15"/>
  <c r="K95" i="15"/>
  <c r="O94" i="15"/>
  <c r="N94" i="15"/>
  <c r="M94" i="15"/>
  <c r="L94" i="15"/>
  <c r="K94" i="15"/>
  <c r="O93" i="15"/>
  <c r="N93" i="15"/>
  <c r="M93" i="15"/>
  <c r="L93" i="15"/>
  <c r="K93" i="15"/>
  <c r="O92" i="15"/>
  <c r="N92" i="15"/>
  <c r="M92" i="15"/>
  <c r="L92" i="15"/>
  <c r="K92" i="15"/>
  <c r="O91" i="15"/>
  <c r="N91" i="15"/>
  <c r="M91" i="15"/>
  <c r="L91" i="15"/>
  <c r="K91" i="15"/>
  <c r="O90" i="15"/>
  <c r="N90" i="15"/>
  <c r="M90" i="15"/>
  <c r="L90" i="15"/>
  <c r="K90" i="15"/>
  <c r="O89" i="15"/>
  <c r="N89" i="15"/>
  <c r="M89" i="15"/>
  <c r="L89" i="15"/>
  <c r="K89" i="15"/>
  <c r="O88" i="15"/>
  <c r="N88" i="15"/>
  <c r="M88" i="15"/>
  <c r="L88" i="15"/>
  <c r="K88" i="15"/>
  <c r="O87" i="15"/>
  <c r="N87" i="15"/>
  <c r="M87" i="15"/>
  <c r="L87" i="15"/>
  <c r="K87" i="15"/>
  <c r="O86" i="15"/>
  <c r="N86" i="15"/>
  <c r="M86" i="15"/>
  <c r="L86" i="15"/>
  <c r="K86" i="15"/>
  <c r="O85" i="15"/>
  <c r="N85" i="15"/>
  <c r="M85" i="15"/>
  <c r="L85" i="15"/>
  <c r="K85" i="15"/>
  <c r="O84" i="15"/>
  <c r="N84" i="15"/>
  <c r="M84" i="15"/>
  <c r="L84" i="15"/>
  <c r="K84" i="15"/>
  <c r="O83" i="15"/>
  <c r="N83" i="15"/>
  <c r="M83" i="15"/>
  <c r="L83" i="15"/>
  <c r="K83" i="15"/>
  <c r="O82" i="15"/>
  <c r="N82" i="15"/>
  <c r="M82" i="15"/>
  <c r="L82" i="15"/>
  <c r="K82" i="15"/>
  <c r="O81" i="15"/>
  <c r="N81" i="15"/>
  <c r="M81" i="15"/>
  <c r="L81" i="15"/>
  <c r="K81" i="15"/>
  <c r="O80" i="15"/>
  <c r="N80" i="15"/>
  <c r="M80" i="15"/>
  <c r="L80" i="15"/>
  <c r="K80" i="15"/>
  <c r="O79" i="15"/>
  <c r="N79" i="15"/>
  <c r="M79" i="15"/>
  <c r="L79" i="15"/>
  <c r="K79" i="15"/>
  <c r="O78" i="15"/>
  <c r="N78" i="15"/>
  <c r="M78" i="15"/>
  <c r="L78" i="15"/>
  <c r="K78" i="15"/>
  <c r="O77" i="15"/>
  <c r="N77" i="15"/>
  <c r="M77" i="15"/>
  <c r="L77" i="15"/>
  <c r="K77" i="15"/>
  <c r="O76" i="15"/>
  <c r="N76" i="15"/>
  <c r="M76" i="15"/>
  <c r="L76" i="15"/>
  <c r="K76" i="15"/>
  <c r="O75" i="15"/>
  <c r="N75" i="15"/>
  <c r="M75" i="15"/>
  <c r="L75" i="15"/>
  <c r="K75" i="15"/>
  <c r="O74" i="15"/>
  <c r="N74" i="15"/>
  <c r="M74" i="15"/>
  <c r="L74" i="15"/>
  <c r="K74" i="15"/>
  <c r="O73" i="15"/>
  <c r="N73" i="15"/>
  <c r="M73" i="15"/>
  <c r="L73" i="15"/>
  <c r="K73" i="15"/>
  <c r="O72" i="15"/>
  <c r="N72" i="15"/>
  <c r="M72" i="15"/>
  <c r="L72" i="15"/>
  <c r="K72" i="15"/>
  <c r="O71" i="15"/>
  <c r="N71" i="15"/>
  <c r="M71" i="15"/>
  <c r="L71" i="15"/>
  <c r="K71" i="15"/>
  <c r="O70" i="15"/>
  <c r="N70" i="15"/>
  <c r="M70" i="15"/>
  <c r="L70" i="15"/>
  <c r="K70" i="15"/>
  <c r="O69" i="15"/>
  <c r="N69" i="15"/>
  <c r="M69" i="15"/>
  <c r="L69" i="15"/>
  <c r="K69" i="15"/>
  <c r="O68" i="15"/>
  <c r="N68" i="15"/>
  <c r="M68" i="15"/>
  <c r="L68" i="15"/>
  <c r="K68" i="15"/>
  <c r="O67" i="15"/>
  <c r="N67" i="15"/>
  <c r="M67" i="15"/>
  <c r="L67" i="15"/>
  <c r="K67" i="15"/>
  <c r="O66" i="15"/>
  <c r="N66" i="15"/>
  <c r="M66" i="15"/>
  <c r="L66" i="15"/>
  <c r="K66" i="15"/>
  <c r="O65" i="15"/>
  <c r="N65" i="15"/>
  <c r="M65" i="15"/>
  <c r="L65" i="15"/>
  <c r="K65" i="15"/>
  <c r="O64" i="15"/>
  <c r="N64" i="15"/>
  <c r="M64" i="15"/>
  <c r="L64" i="15"/>
  <c r="K64" i="15"/>
  <c r="O63" i="15"/>
  <c r="N63" i="15"/>
  <c r="M63" i="15"/>
  <c r="L63" i="15"/>
  <c r="K63" i="15"/>
  <c r="O62" i="15"/>
  <c r="N62" i="15"/>
  <c r="M62" i="15"/>
  <c r="L62" i="15"/>
  <c r="K62" i="15"/>
  <c r="O61" i="15"/>
  <c r="N61" i="15"/>
  <c r="M61" i="15"/>
  <c r="L61" i="15"/>
  <c r="K61" i="15"/>
  <c r="O60" i="15"/>
  <c r="N60" i="15"/>
  <c r="M60" i="15"/>
  <c r="L60" i="15"/>
  <c r="K60" i="15"/>
  <c r="O59" i="15"/>
  <c r="N59" i="15"/>
  <c r="M59" i="15"/>
  <c r="L59" i="15"/>
  <c r="K59" i="15"/>
  <c r="O58" i="15"/>
  <c r="N58" i="15"/>
  <c r="M58" i="15"/>
  <c r="L58" i="15"/>
  <c r="K58" i="15"/>
  <c r="O57" i="15"/>
  <c r="N57" i="15"/>
  <c r="M57" i="15"/>
  <c r="L57" i="15"/>
  <c r="K57" i="15"/>
  <c r="O56" i="15"/>
  <c r="N56" i="15"/>
  <c r="M56" i="15"/>
  <c r="L56" i="15"/>
  <c r="K56" i="15"/>
  <c r="O55" i="15"/>
  <c r="N55" i="15"/>
  <c r="M55" i="15"/>
  <c r="L55" i="15"/>
  <c r="K55" i="15"/>
  <c r="O54" i="15"/>
  <c r="N54" i="15"/>
  <c r="M54" i="15"/>
  <c r="L54" i="15"/>
  <c r="K54" i="15"/>
  <c r="O53" i="15"/>
  <c r="N53" i="15"/>
  <c r="M53" i="15"/>
  <c r="L53" i="15"/>
  <c r="K53" i="15"/>
  <c r="O52" i="15"/>
  <c r="N52" i="15"/>
  <c r="M52" i="15"/>
  <c r="L52" i="15"/>
  <c r="K52" i="15"/>
  <c r="O51" i="15"/>
  <c r="N51" i="15"/>
  <c r="M51" i="15"/>
  <c r="L51" i="15"/>
  <c r="K51" i="15"/>
  <c r="O50" i="15"/>
  <c r="N50" i="15"/>
  <c r="M50" i="15"/>
  <c r="L50" i="15"/>
  <c r="K50" i="15"/>
  <c r="O49" i="15"/>
  <c r="N49" i="15"/>
  <c r="M49" i="15"/>
  <c r="L49" i="15"/>
  <c r="K49" i="15"/>
  <c r="O48" i="15"/>
  <c r="N48" i="15"/>
  <c r="M48" i="15"/>
  <c r="L48" i="15"/>
  <c r="K48" i="15"/>
  <c r="O47" i="15"/>
  <c r="N47" i="15"/>
  <c r="M47" i="15"/>
  <c r="L47" i="15"/>
  <c r="K47" i="15"/>
  <c r="O46" i="15"/>
  <c r="N46" i="15"/>
  <c r="M46" i="15"/>
  <c r="L46" i="15"/>
  <c r="K46" i="15"/>
  <c r="O45" i="15"/>
  <c r="N45" i="15"/>
  <c r="M45" i="15"/>
  <c r="L45" i="15"/>
  <c r="K45" i="15"/>
  <c r="O44" i="15"/>
  <c r="N44" i="15"/>
  <c r="M44" i="15"/>
  <c r="L44" i="15"/>
  <c r="K44" i="15"/>
  <c r="O43" i="15"/>
  <c r="N43" i="15"/>
  <c r="M43" i="15"/>
  <c r="L43" i="15"/>
  <c r="K43" i="15"/>
  <c r="O42" i="15"/>
  <c r="N42" i="15"/>
  <c r="M42" i="15"/>
  <c r="L42" i="15"/>
  <c r="K42" i="15"/>
  <c r="O41" i="15"/>
  <c r="N41" i="15"/>
  <c r="M41" i="15"/>
  <c r="L41" i="15"/>
  <c r="K41" i="15"/>
  <c r="O40" i="15"/>
  <c r="N40" i="15"/>
  <c r="M40" i="15"/>
  <c r="L40" i="15"/>
  <c r="K40" i="15"/>
  <c r="O39" i="15"/>
  <c r="N39" i="15"/>
  <c r="M39" i="15"/>
  <c r="L39" i="15"/>
  <c r="K39" i="15"/>
  <c r="O38" i="15"/>
  <c r="N38" i="15"/>
  <c r="M38" i="15"/>
  <c r="L38" i="15"/>
  <c r="K38" i="15"/>
  <c r="O37" i="15"/>
  <c r="N37" i="15"/>
  <c r="M37" i="15"/>
  <c r="L37" i="15"/>
  <c r="K37" i="15"/>
  <c r="O36" i="15"/>
  <c r="N36" i="15"/>
  <c r="M36" i="15"/>
  <c r="L36" i="15"/>
  <c r="K36" i="15"/>
  <c r="O35" i="15"/>
  <c r="N35" i="15"/>
  <c r="M35" i="15"/>
  <c r="L35" i="15"/>
  <c r="K35" i="15"/>
  <c r="O34" i="15"/>
  <c r="N34" i="15"/>
  <c r="M34" i="15"/>
  <c r="L34" i="15"/>
  <c r="K34" i="15"/>
  <c r="O33" i="15"/>
  <c r="N33" i="15"/>
  <c r="M33" i="15"/>
  <c r="L33" i="15"/>
  <c r="K33" i="15"/>
  <c r="O32" i="15"/>
  <c r="N32" i="15"/>
  <c r="M32" i="15"/>
  <c r="L32" i="15"/>
  <c r="K32" i="15"/>
  <c r="O31" i="15"/>
  <c r="N31" i="15"/>
  <c r="M31" i="15"/>
  <c r="L31" i="15"/>
  <c r="K31" i="15"/>
  <c r="O30" i="15"/>
  <c r="N30" i="15"/>
  <c r="M30" i="15"/>
  <c r="L30" i="15"/>
  <c r="K30" i="15"/>
  <c r="O29" i="15"/>
  <c r="N29" i="15"/>
  <c r="M29" i="15"/>
  <c r="L29" i="15"/>
  <c r="K29" i="15"/>
  <c r="O28" i="15"/>
  <c r="N28" i="15"/>
  <c r="M28" i="15"/>
  <c r="L28" i="15"/>
  <c r="K28" i="15"/>
  <c r="O27" i="15"/>
  <c r="N27" i="15"/>
  <c r="M27" i="15"/>
  <c r="L27" i="15"/>
  <c r="K27" i="15"/>
  <c r="O26" i="15"/>
  <c r="N26" i="15"/>
  <c r="M26" i="15"/>
  <c r="L26" i="15"/>
  <c r="K26" i="15"/>
  <c r="O25" i="15"/>
  <c r="N25" i="15"/>
  <c r="M25" i="15"/>
  <c r="L25" i="15"/>
  <c r="K25" i="15"/>
  <c r="O24" i="15"/>
  <c r="N24" i="15"/>
  <c r="M24" i="15"/>
  <c r="L24" i="15"/>
  <c r="K24" i="15"/>
  <c r="O23" i="15"/>
  <c r="N23" i="15"/>
  <c r="M23" i="15"/>
  <c r="L23" i="15"/>
  <c r="K23" i="15"/>
  <c r="O22" i="15"/>
  <c r="N22" i="15"/>
  <c r="M22" i="15"/>
  <c r="L22" i="15"/>
  <c r="K22" i="15"/>
  <c r="O21" i="15"/>
  <c r="N21" i="15"/>
  <c r="M21" i="15"/>
  <c r="L21" i="15"/>
  <c r="K21" i="15"/>
  <c r="O20" i="15"/>
  <c r="N20" i="15"/>
  <c r="M20" i="15"/>
  <c r="L20" i="15"/>
  <c r="K20" i="15"/>
  <c r="O19" i="15"/>
  <c r="N19" i="15"/>
  <c r="M19" i="15"/>
  <c r="L19" i="15"/>
  <c r="K19" i="15"/>
  <c r="O18" i="15"/>
  <c r="N18" i="15"/>
  <c r="M18" i="15"/>
  <c r="L18" i="15"/>
  <c r="K18" i="15"/>
  <c r="O17" i="15"/>
  <c r="N17" i="15"/>
  <c r="M17" i="15"/>
  <c r="L17" i="15"/>
  <c r="K17" i="15"/>
  <c r="O16" i="15"/>
  <c r="N16" i="15"/>
  <c r="M16" i="15"/>
  <c r="L16" i="15"/>
  <c r="K16" i="15"/>
  <c r="O15" i="15"/>
  <c r="N15" i="15"/>
  <c r="M15" i="15"/>
  <c r="L15" i="15"/>
  <c r="K15" i="15"/>
  <c r="O14" i="15"/>
  <c r="N14" i="15"/>
  <c r="M14" i="15"/>
  <c r="L14" i="15"/>
  <c r="K14" i="15"/>
  <c r="O13" i="15"/>
  <c r="N13" i="15"/>
  <c r="M13" i="15"/>
  <c r="L13" i="15"/>
  <c r="K13" i="15"/>
  <c r="O12" i="15"/>
  <c r="N12" i="15"/>
  <c r="M12" i="15"/>
  <c r="L12" i="15"/>
  <c r="K12" i="15"/>
  <c r="O11" i="15"/>
  <c r="N11" i="15"/>
  <c r="M11" i="15"/>
  <c r="L11" i="15"/>
  <c r="K11" i="15"/>
  <c r="O10" i="15"/>
  <c r="N10" i="15"/>
  <c r="M10" i="15"/>
  <c r="L10" i="15"/>
  <c r="K10" i="15"/>
  <c r="O9" i="15"/>
  <c r="N9" i="15"/>
  <c r="M9" i="15"/>
  <c r="L9" i="15"/>
  <c r="K9" i="15"/>
  <c r="O8" i="15"/>
  <c r="N8" i="15"/>
  <c r="M8" i="15"/>
  <c r="L8" i="15"/>
  <c r="K8" i="15"/>
  <c r="O7" i="15"/>
  <c r="N7" i="15"/>
  <c r="M7" i="15"/>
  <c r="L7" i="15"/>
  <c r="K7" i="15"/>
  <c r="O6" i="15"/>
  <c r="N6" i="15"/>
  <c r="M6" i="15"/>
  <c r="L6" i="15"/>
  <c r="K6" i="15"/>
  <c r="O5" i="15"/>
  <c r="N5" i="15"/>
  <c r="M5" i="15"/>
  <c r="L5" i="15"/>
  <c r="K5" i="15"/>
  <c r="O4" i="15"/>
  <c r="N4" i="15"/>
  <c r="M4" i="15"/>
  <c r="L4" i="15"/>
  <c r="K4" i="15"/>
  <c r="HH2" i="15"/>
  <c r="HD2" i="15"/>
  <c r="HB2" i="15"/>
  <c r="GZ2" i="15"/>
  <c r="GW2" i="15"/>
  <c r="GV2" i="15"/>
  <c r="GR2" i="15"/>
  <c r="GN2" i="15"/>
  <c r="GJ2" i="15"/>
  <c r="GG2" i="15"/>
  <c r="GF2" i="15"/>
  <c r="GB2" i="15"/>
  <c r="FZ2" i="15"/>
  <c r="FX2" i="15"/>
  <c r="FT2" i="15"/>
  <c r="FR2" i="15"/>
  <c r="FQ2" i="15"/>
  <c r="FP2" i="15"/>
  <c r="FL2" i="15"/>
  <c r="FH2" i="15"/>
  <c r="FD2" i="15"/>
  <c r="FA2" i="15"/>
  <c r="EZ2" i="15"/>
  <c r="EX2" i="15"/>
  <c r="EV2" i="15"/>
  <c r="ER2" i="15"/>
  <c r="EP2" i="15"/>
  <c r="EN2" i="15"/>
  <c r="EK2" i="15"/>
  <c r="EJ2" i="15"/>
  <c r="EF2" i="15"/>
  <c r="EB2" i="15"/>
  <c r="DX2" i="15"/>
  <c r="DU2" i="15"/>
  <c r="DT2" i="15"/>
  <c r="DP2" i="15"/>
  <c r="DN2" i="15"/>
  <c r="DL2" i="15"/>
  <c r="DH2" i="15"/>
  <c r="DF2" i="15"/>
  <c r="DE2" i="15"/>
  <c r="DD2" i="15"/>
  <c r="CZ2" i="15"/>
  <c r="CV2" i="15"/>
  <c r="CR2" i="15"/>
  <c r="CO2" i="15"/>
  <c r="CN2" i="15"/>
  <c r="CL2" i="15"/>
  <c r="CJ2" i="15"/>
  <c r="CF2" i="15"/>
  <c r="CD2" i="15"/>
  <c r="CB2" i="15"/>
  <c r="BY2" i="15"/>
  <c r="BX2" i="15"/>
  <c r="BT2" i="15"/>
  <c r="BP2" i="15"/>
  <c r="BN2" i="15"/>
  <c r="BL2" i="15"/>
  <c r="BI2" i="15"/>
  <c r="BH2" i="15"/>
  <c r="BD2" i="15"/>
  <c r="AZ2" i="15"/>
  <c r="AV2" i="15"/>
  <c r="AS2" i="15"/>
  <c r="AR2" i="15"/>
  <c r="AN2" i="15"/>
  <c r="AL2" i="15"/>
  <c r="AJ2" i="15"/>
  <c r="AF2" i="15"/>
  <c r="AD2" i="15"/>
  <c r="AC2" i="15"/>
  <c r="AB2" i="15"/>
  <c r="X2" i="15"/>
  <c r="F2" i="15"/>
  <c r="HH221" i="14"/>
  <c r="HG221" i="14"/>
  <c r="HG2" i="14" s="1"/>
  <c r="HF221" i="14"/>
  <c r="HE221" i="14"/>
  <c r="HE2" i="14" s="1"/>
  <c r="HD221" i="14"/>
  <c r="HC221" i="14"/>
  <c r="HC2" i="14" s="1"/>
  <c r="HB221" i="14"/>
  <c r="HA221" i="14"/>
  <c r="HA2" i="14" s="1"/>
  <c r="GZ221" i="14"/>
  <c r="GY221" i="14"/>
  <c r="GY2" i="14" s="1"/>
  <c r="GX221" i="14"/>
  <c r="GW221" i="14"/>
  <c r="GW2" i="14" s="1"/>
  <c r="GV221" i="14"/>
  <c r="GU221" i="14"/>
  <c r="GT221" i="14"/>
  <c r="GS221" i="14"/>
  <c r="GS2" i="14" s="1"/>
  <c r="GR221" i="14"/>
  <c r="GQ221" i="14"/>
  <c r="GQ2" i="14" s="1"/>
  <c r="GP221" i="14"/>
  <c r="GO221" i="14"/>
  <c r="GO2" i="14" s="1"/>
  <c r="GN221" i="14"/>
  <c r="GM221" i="14"/>
  <c r="GM2" i="14" s="1"/>
  <c r="GL221" i="14"/>
  <c r="GK221" i="14"/>
  <c r="GK2" i="14" s="1"/>
  <c r="GJ221" i="14"/>
  <c r="GI221" i="14"/>
  <c r="GI2" i="14" s="1"/>
  <c r="GH221" i="14"/>
  <c r="GG221" i="14"/>
  <c r="GG2" i="14" s="1"/>
  <c r="GF221" i="14"/>
  <c r="GE221" i="14"/>
  <c r="GD221" i="14"/>
  <c r="GC221" i="14"/>
  <c r="GC2" i="14" s="1"/>
  <c r="GB221" i="14"/>
  <c r="GA221" i="14"/>
  <c r="GA2" i="14" s="1"/>
  <c r="FZ221" i="14"/>
  <c r="FY221" i="14"/>
  <c r="FY2" i="14" s="1"/>
  <c r="FX221" i="14"/>
  <c r="FW221" i="14"/>
  <c r="FW2" i="14" s="1"/>
  <c r="FV221" i="14"/>
  <c r="FU221" i="14"/>
  <c r="FU2" i="14" s="1"/>
  <c r="FT221" i="14"/>
  <c r="FS221" i="14"/>
  <c r="FS2" i="14" s="1"/>
  <c r="FR221" i="14"/>
  <c r="FQ221" i="14"/>
  <c r="FQ2" i="14" s="1"/>
  <c r="FP221" i="14"/>
  <c r="FO221" i="14"/>
  <c r="FN221" i="14"/>
  <c r="FM221" i="14"/>
  <c r="FM2" i="14" s="1"/>
  <c r="FL221" i="14"/>
  <c r="FK221" i="14"/>
  <c r="FK2" i="14" s="1"/>
  <c r="FJ221" i="14"/>
  <c r="FI221" i="14"/>
  <c r="FI2" i="14" s="1"/>
  <c r="FH221" i="14"/>
  <c r="FG221" i="14"/>
  <c r="FG2" i="14" s="1"/>
  <c r="FF221" i="14"/>
  <c r="FE221" i="14"/>
  <c r="FE2" i="14" s="1"/>
  <c r="FD221" i="14"/>
  <c r="FC221" i="14"/>
  <c r="FC2" i="14" s="1"/>
  <c r="FB221" i="14"/>
  <c r="FA221" i="14"/>
  <c r="FA2" i="14" s="1"/>
  <c r="EZ221" i="14"/>
  <c r="EY221" i="14"/>
  <c r="EX221" i="14"/>
  <c r="EW221" i="14"/>
  <c r="EW2" i="14" s="1"/>
  <c r="EV221" i="14"/>
  <c r="EU221" i="14"/>
  <c r="EU2" i="14" s="1"/>
  <c r="ET221" i="14"/>
  <c r="ES221" i="14"/>
  <c r="ES2" i="14" s="1"/>
  <c r="ER221" i="14"/>
  <c r="EQ221" i="14"/>
  <c r="EQ2" i="14" s="1"/>
  <c r="EP221" i="14"/>
  <c r="EO221" i="14"/>
  <c r="EO2" i="14" s="1"/>
  <c r="EN221" i="14"/>
  <c r="EM221" i="14"/>
  <c r="EM2" i="14" s="1"/>
  <c r="EL221" i="14"/>
  <c r="EK221" i="14"/>
  <c r="EK2" i="14" s="1"/>
  <c r="EJ221" i="14"/>
  <c r="EI221" i="14"/>
  <c r="EH221" i="14"/>
  <c r="EG221" i="14"/>
  <c r="EG2" i="14" s="1"/>
  <c r="EF221" i="14"/>
  <c r="EE221" i="14"/>
  <c r="EE2" i="14" s="1"/>
  <c r="ED221" i="14"/>
  <c r="EC221" i="14"/>
  <c r="EC2" i="14" s="1"/>
  <c r="EB221" i="14"/>
  <c r="EA221" i="14"/>
  <c r="EA2" i="14" s="1"/>
  <c r="DZ221" i="14"/>
  <c r="DY221" i="14"/>
  <c r="DY2" i="14" s="1"/>
  <c r="DX221" i="14"/>
  <c r="DW221" i="14"/>
  <c r="DW2" i="14" s="1"/>
  <c r="DV221" i="14"/>
  <c r="DU221" i="14"/>
  <c r="DU2" i="14" s="1"/>
  <c r="DT221" i="14"/>
  <c r="DS221" i="14"/>
  <c r="DR221" i="14"/>
  <c r="DQ221" i="14"/>
  <c r="DQ2" i="14" s="1"/>
  <c r="DP221" i="14"/>
  <c r="DO221" i="14"/>
  <c r="DO2" i="14" s="1"/>
  <c r="DN221" i="14"/>
  <c r="DM221" i="14"/>
  <c r="DM2" i="14" s="1"/>
  <c r="DL221" i="14"/>
  <c r="DK221" i="14"/>
  <c r="DK2" i="14" s="1"/>
  <c r="DJ221" i="14"/>
  <c r="DI221" i="14"/>
  <c r="DI2" i="14" s="1"/>
  <c r="DH221" i="14"/>
  <c r="DG221" i="14"/>
  <c r="DF221" i="14"/>
  <c r="DE221" i="14"/>
  <c r="DE2" i="14" s="1"/>
  <c r="DD221" i="14"/>
  <c r="DC221" i="14"/>
  <c r="DC2" i="14" s="1"/>
  <c r="DB221" i="14"/>
  <c r="DA221" i="14"/>
  <c r="DA2" i="14" s="1"/>
  <c r="CZ221" i="14"/>
  <c r="CY221" i="14"/>
  <c r="CY2" i="14" s="1"/>
  <c r="CX221" i="14"/>
  <c r="CW221" i="14"/>
  <c r="CW2" i="14" s="1"/>
  <c r="CV221" i="14"/>
  <c r="CU221" i="14"/>
  <c r="CU2" i="14" s="1"/>
  <c r="CT221" i="14"/>
  <c r="CS221" i="14"/>
  <c r="CS2" i="14" s="1"/>
  <c r="CR221" i="14"/>
  <c r="CQ221" i="14"/>
  <c r="CP221" i="14"/>
  <c r="CO221" i="14"/>
  <c r="CO2" i="14" s="1"/>
  <c r="CN221" i="14"/>
  <c r="CM221" i="14"/>
  <c r="CM2" i="14" s="1"/>
  <c r="CL221" i="14"/>
  <c r="CK221" i="14"/>
  <c r="CK2" i="14" s="1"/>
  <c r="CJ221" i="14"/>
  <c r="CI221" i="14"/>
  <c r="CI2" i="14" s="1"/>
  <c r="CH221" i="14"/>
  <c r="CG221" i="14"/>
  <c r="CG2" i="14" s="1"/>
  <c r="CF221" i="14"/>
  <c r="CE221" i="14"/>
  <c r="CE2" i="14" s="1"/>
  <c r="CD221" i="14"/>
  <c r="CC221" i="14"/>
  <c r="CC2" i="14" s="1"/>
  <c r="CB221" i="14"/>
  <c r="CA221" i="14"/>
  <c r="BZ221" i="14"/>
  <c r="BY221" i="14"/>
  <c r="BY2" i="14" s="1"/>
  <c r="BX221" i="14"/>
  <c r="BW221" i="14"/>
  <c r="BW2" i="14" s="1"/>
  <c r="BV221" i="14"/>
  <c r="BU221" i="14"/>
  <c r="BU2" i="14" s="1"/>
  <c r="BT221" i="14"/>
  <c r="BT2" i="14" s="1"/>
  <c r="BS221" i="14"/>
  <c r="BS2" i="14" s="1"/>
  <c r="BR221" i="14"/>
  <c r="BQ221" i="14"/>
  <c r="BQ2" i="14" s="1"/>
  <c r="BP221" i="14"/>
  <c r="BO221" i="14"/>
  <c r="BN221" i="14"/>
  <c r="BM221" i="14"/>
  <c r="BM2" i="14" s="1"/>
  <c r="BL221" i="14"/>
  <c r="BK221" i="14"/>
  <c r="BK2" i="14" s="1"/>
  <c r="BJ221" i="14"/>
  <c r="BI221" i="14"/>
  <c r="BI2" i="14" s="1"/>
  <c r="BH221" i="14"/>
  <c r="BG221" i="14"/>
  <c r="BG2" i="14" s="1"/>
  <c r="BF221" i="14"/>
  <c r="BE221" i="14"/>
  <c r="BE2" i="14" s="1"/>
  <c r="BD221" i="14"/>
  <c r="BC221" i="14"/>
  <c r="BC2" i="14" s="1"/>
  <c r="BB221" i="14"/>
  <c r="BA221" i="14"/>
  <c r="BA2" i="14" s="1"/>
  <c r="AZ221" i="14"/>
  <c r="AY221" i="14"/>
  <c r="AX221" i="14"/>
  <c r="AW221" i="14"/>
  <c r="AW2" i="14" s="1"/>
  <c r="AV221" i="14"/>
  <c r="AU221" i="14"/>
  <c r="AU2" i="14" s="1"/>
  <c r="AT221" i="14"/>
  <c r="AS221" i="14"/>
  <c r="AS2" i="14" s="1"/>
  <c r="AR221" i="14"/>
  <c r="AQ221" i="14"/>
  <c r="AQ2" i="14" s="1"/>
  <c r="AP221" i="14"/>
  <c r="AO221" i="14"/>
  <c r="AO2" i="14" s="1"/>
  <c r="AN221" i="14"/>
  <c r="AM221" i="14"/>
  <c r="AM2" i="14" s="1"/>
  <c r="AL221" i="14"/>
  <c r="AK221" i="14"/>
  <c r="AK2" i="14" s="1"/>
  <c r="AJ221" i="14"/>
  <c r="AI221" i="14"/>
  <c r="AH221" i="14"/>
  <c r="AG221" i="14"/>
  <c r="AG2" i="14" s="1"/>
  <c r="AF221" i="14"/>
  <c r="AE221" i="14"/>
  <c r="AE2" i="14" s="1"/>
  <c r="AD221" i="14"/>
  <c r="AC221" i="14"/>
  <c r="AC2" i="14" s="1"/>
  <c r="AB221" i="14"/>
  <c r="AA221" i="14"/>
  <c r="AA2" i="14" s="1"/>
  <c r="Z221" i="14"/>
  <c r="Y221" i="14"/>
  <c r="Y2" i="14" s="1"/>
  <c r="X221" i="14"/>
  <c r="W221" i="14"/>
  <c r="W2" i="14" s="1"/>
  <c r="V221" i="14"/>
  <c r="V2" i="14" s="1"/>
  <c r="U221" i="14"/>
  <c r="U2" i="14" s="1"/>
  <c r="T221" i="14"/>
  <c r="T2" i="14" s="1"/>
  <c r="S221" i="14"/>
  <c r="S2" i="14" s="1"/>
  <c r="R221" i="14"/>
  <c r="R2" i="14" s="1"/>
  <c r="Q221" i="14"/>
  <c r="Q2" i="14" s="1"/>
  <c r="J221" i="14"/>
  <c r="I221" i="14"/>
  <c r="I2" i="14" s="1"/>
  <c r="H221" i="14"/>
  <c r="G221" i="14"/>
  <c r="G2" i="14" s="1"/>
  <c r="F221" i="14"/>
  <c r="F2" i="14" s="1"/>
  <c r="E221" i="14"/>
  <c r="E2" i="14" s="1"/>
  <c r="O220" i="14"/>
  <c r="N220" i="14"/>
  <c r="M220" i="14"/>
  <c r="L220" i="14"/>
  <c r="K220" i="14"/>
  <c r="O219" i="14"/>
  <c r="N219" i="14"/>
  <c r="M219" i="14"/>
  <c r="L219" i="14"/>
  <c r="K219" i="14"/>
  <c r="O218" i="14"/>
  <c r="N218" i="14"/>
  <c r="M218" i="14"/>
  <c r="L218" i="14"/>
  <c r="K218" i="14"/>
  <c r="O217" i="14"/>
  <c r="N217" i="14"/>
  <c r="M217" i="14"/>
  <c r="L217" i="14"/>
  <c r="K217" i="14"/>
  <c r="O216" i="14"/>
  <c r="N216" i="14"/>
  <c r="M216" i="14"/>
  <c r="L216" i="14"/>
  <c r="K216" i="14"/>
  <c r="O215" i="14"/>
  <c r="N215" i="14"/>
  <c r="M215" i="14"/>
  <c r="L215" i="14"/>
  <c r="K215" i="14"/>
  <c r="O214" i="14"/>
  <c r="N214" i="14"/>
  <c r="M214" i="14"/>
  <c r="L214" i="14"/>
  <c r="K214" i="14"/>
  <c r="O213" i="14"/>
  <c r="N213" i="14"/>
  <c r="M213" i="14"/>
  <c r="L213" i="14"/>
  <c r="K213" i="14"/>
  <c r="O212" i="14"/>
  <c r="N212" i="14"/>
  <c r="M212" i="14"/>
  <c r="L212" i="14"/>
  <c r="K212" i="14"/>
  <c r="O211" i="14"/>
  <c r="N211" i="14"/>
  <c r="M211" i="14"/>
  <c r="L211" i="14"/>
  <c r="K211" i="14"/>
  <c r="O210" i="14"/>
  <c r="N210" i="14"/>
  <c r="M210" i="14"/>
  <c r="L210" i="14"/>
  <c r="K210" i="14"/>
  <c r="O209" i="14"/>
  <c r="N209" i="14"/>
  <c r="M209" i="14"/>
  <c r="L209" i="14"/>
  <c r="K209" i="14"/>
  <c r="O208" i="14"/>
  <c r="N208" i="14"/>
  <c r="M208" i="14"/>
  <c r="L208" i="14"/>
  <c r="K208" i="14"/>
  <c r="O207" i="14"/>
  <c r="N207" i="14"/>
  <c r="M207" i="14"/>
  <c r="L207" i="14"/>
  <c r="K207" i="14"/>
  <c r="O206" i="14"/>
  <c r="N206" i="14"/>
  <c r="M206" i="14"/>
  <c r="L206" i="14"/>
  <c r="K206" i="14"/>
  <c r="O205" i="14"/>
  <c r="N205" i="14"/>
  <c r="M205" i="14"/>
  <c r="L205" i="14"/>
  <c r="K205" i="14"/>
  <c r="O204" i="14"/>
  <c r="N204" i="14"/>
  <c r="M204" i="14"/>
  <c r="L204" i="14"/>
  <c r="K204" i="14"/>
  <c r="O203" i="14"/>
  <c r="N203" i="14"/>
  <c r="M203" i="14"/>
  <c r="L203" i="14"/>
  <c r="K203" i="14"/>
  <c r="O202" i="14"/>
  <c r="N202" i="14"/>
  <c r="M202" i="14"/>
  <c r="L202" i="14"/>
  <c r="K202" i="14"/>
  <c r="O201" i="14"/>
  <c r="N201" i="14"/>
  <c r="M201" i="14"/>
  <c r="L201" i="14"/>
  <c r="K201" i="14"/>
  <c r="O200" i="14"/>
  <c r="N200" i="14"/>
  <c r="M200" i="14"/>
  <c r="L200" i="14"/>
  <c r="K200" i="14"/>
  <c r="O199" i="14"/>
  <c r="N199" i="14"/>
  <c r="M199" i="14"/>
  <c r="L199" i="14"/>
  <c r="K199" i="14"/>
  <c r="O198" i="14"/>
  <c r="N198" i="14"/>
  <c r="M198" i="14"/>
  <c r="L198" i="14"/>
  <c r="K198" i="14"/>
  <c r="O197" i="14"/>
  <c r="N197" i="14"/>
  <c r="M197" i="14"/>
  <c r="L197" i="14"/>
  <c r="K197" i="14"/>
  <c r="O196" i="14"/>
  <c r="N196" i="14"/>
  <c r="M196" i="14"/>
  <c r="L196" i="14"/>
  <c r="K196" i="14"/>
  <c r="O195" i="14"/>
  <c r="N195" i="14"/>
  <c r="M195" i="14"/>
  <c r="L195" i="14"/>
  <c r="K195" i="14"/>
  <c r="O194" i="14"/>
  <c r="N194" i="14"/>
  <c r="M194" i="14"/>
  <c r="L194" i="14"/>
  <c r="K194" i="14"/>
  <c r="O193" i="14"/>
  <c r="N193" i="14"/>
  <c r="M193" i="14"/>
  <c r="L193" i="14"/>
  <c r="K193" i="14"/>
  <c r="O192" i="14"/>
  <c r="N192" i="14"/>
  <c r="M192" i="14"/>
  <c r="L192" i="14"/>
  <c r="K192" i="14"/>
  <c r="O191" i="14"/>
  <c r="N191" i="14"/>
  <c r="M191" i="14"/>
  <c r="L191" i="14"/>
  <c r="K191" i="14"/>
  <c r="O190" i="14"/>
  <c r="N190" i="14"/>
  <c r="M190" i="14"/>
  <c r="L190" i="14"/>
  <c r="K190" i="14"/>
  <c r="O189" i="14"/>
  <c r="N189" i="14"/>
  <c r="M189" i="14"/>
  <c r="L189" i="14"/>
  <c r="K189" i="14"/>
  <c r="O188" i="14"/>
  <c r="N188" i="14"/>
  <c r="M188" i="14"/>
  <c r="L188" i="14"/>
  <c r="K188" i="14"/>
  <c r="O187" i="14"/>
  <c r="N187" i="14"/>
  <c r="M187" i="14"/>
  <c r="L187" i="14"/>
  <c r="K187" i="14"/>
  <c r="O186" i="14"/>
  <c r="N186" i="14"/>
  <c r="M186" i="14"/>
  <c r="L186" i="14"/>
  <c r="K186" i="14"/>
  <c r="O185" i="14"/>
  <c r="N185" i="14"/>
  <c r="M185" i="14"/>
  <c r="L185" i="14"/>
  <c r="K185" i="14"/>
  <c r="O184" i="14"/>
  <c r="N184" i="14"/>
  <c r="M184" i="14"/>
  <c r="L184" i="14"/>
  <c r="K184" i="14"/>
  <c r="O183" i="14"/>
  <c r="N183" i="14"/>
  <c r="M183" i="14"/>
  <c r="L183" i="14"/>
  <c r="K183" i="14"/>
  <c r="O182" i="14"/>
  <c r="N182" i="14"/>
  <c r="M182" i="14"/>
  <c r="L182" i="14"/>
  <c r="K182" i="14"/>
  <c r="O181" i="14"/>
  <c r="N181" i="14"/>
  <c r="M181" i="14"/>
  <c r="L181" i="14"/>
  <c r="K181" i="14"/>
  <c r="O180" i="14"/>
  <c r="N180" i="14"/>
  <c r="M180" i="14"/>
  <c r="L180" i="14"/>
  <c r="K180" i="14"/>
  <c r="O179" i="14"/>
  <c r="N179" i="14"/>
  <c r="M179" i="14"/>
  <c r="L179" i="14"/>
  <c r="K179" i="14"/>
  <c r="O178" i="14"/>
  <c r="N178" i="14"/>
  <c r="M178" i="14"/>
  <c r="L178" i="14"/>
  <c r="K178" i="14"/>
  <c r="O177" i="14"/>
  <c r="N177" i="14"/>
  <c r="M177" i="14"/>
  <c r="L177" i="14"/>
  <c r="K177" i="14"/>
  <c r="O176" i="14"/>
  <c r="N176" i="14"/>
  <c r="M176" i="14"/>
  <c r="L176" i="14"/>
  <c r="K176" i="14"/>
  <c r="O175" i="14"/>
  <c r="N175" i="14"/>
  <c r="M175" i="14"/>
  <c r="L175" i="14"/>
  <c r="K175" i="14"/>
  <c r="O174" i="14"/>
  <c r="N174" i="14"/>
  <c r="M174" i="14"/>
  <c r="L174" i="14"/>
  <c r="K174" i="14"/>
  <c r="O173" i="14"/>
  <c r="N173" i="14"/>
  <c r="M173" i="14"/>
  <c r="L173" i="14"/>
  <c r="K173" i="14"/>
  <c r="O172" i="14"/>
  <c r="N172" i="14"/>
  <c r="M172" i="14"/>
  <c r="L172" i="14"/>
  <c r="K172" i="14"/>
  <c r="O171" i="14"/>
  <c r="N171" i="14"/>
  <c r="M171" i="14"/>
  <c r="L171" i="14"/>
  <c r="K171" i="14"/>
  <c r="O170" i="14"/>
  <c r="N170" i="14"/>
  <c r="M170" i="14"/>
  <c r="L170" i="14"/>
  <c r="K170" i="14"/>
  <c r="O169" i="14"/>
  <c r="N169" i="14"/>
  <c r="M169" i="14"/>
  <c r="L169" i="14"/>
  <c r="K169" i="14"/>
  <c r="O168" i="14"/>
  <c r="N168" i="14"/>
  <c r="M168" i="14"/>
  <c r="L168" i="14"/>
  <c r="K168" i="14"/>
  <c r="O167" i="14"/>
  <c r="N167" i="14"/>
  <c r="M167" i="14"/>
  <c r="L167" i="14"/>
  <c r="K167" i="14"/>
  <c r="O166" i="14"/>
  <c r="N166" i="14"/>
  <c r="M166" i="14"/>
  <c r="L166" i="14"/>
  <c r="K166" i="14"/>
  <c r="O165" i="14"/>
  <c r="N165" i="14"/>
  <c r="M165" i="14"/>
  <c r="L165" i="14"/>
  <c r="K165" i="14"/>
  <c r="O164" i="14"/>
  <c r="N164" i="14"/>
  <c r="M164" i="14"/>
  <c r="L164" i="14"/>
  <c r="K164" i="14"/>
  <c r="O163" i="14"/>
  <c r="N163" i="14"/>
  <c r="M163" i="14"/>
  <c r="L163" i="14"/>
  <c r="K163" i="14"/>
  <c r="O162" i="14"/>
  <c r="N162" i="14"/>
  <c r="M162" i="14"/>
  <c r="L162" i="14"/>
  <c r="K162" i="14"/>
  <c r="O161" i="14"/>
  <c r="N161" i="14"/>
  <c r="M161" i="14"/>
  <c r="L161" i="14"/>
  <c r="K161" i="14"/>
  <c r="O160" i="14"/>
  <c r="N160" i="14"/>
  <c r="M160" i="14"/>
  <c r="L160" i="14"/>
  <c r="K160" i="14"/>
  <c r="O159" i="14"/>
  <c r="N159" i="14"/>
  <c r="M159" i="14"/>
  <c r="L159" i="14"/>
  <c r="K159" i="14"/>
  <c r="O158" i="14"/>
  <c r="N158" i="14"/>
  <c r="M158" i="14"/>
  <c r="L158" i="14"/>
  <c r="K158" i="14"/>
  <c r="O157" i="14"/>
  <c r="N157" i="14"/>
  <c r="M157" i="14"/>
  <c r="L157" i="14"/>
  <c r="K157" i="14"/>
  <c r="O156" i="14"/>
  <c r="N156" i="14"/>
  <c r="M156" i="14"/>
  <c r="L156" i="14"/>
  <c r="K156" i="14"/>
  <c r="O155" i="14"/>
  <c r="N155" i="14"/>
  <c r="M155" i="14"/>
  <c r="L155" i="14"/>
  <c r="K155" i="14"/>
  <c r="O154" i="14"/>
  <c r="N154" i="14"/>
  <c r="M154" i="14"/>
  <c r="L154" i="14"/>
  <c r="K154" i="14"/>
  <c r="O153" i="14"/>
  <c r="N153" i="14"/>
  <c r="M153" i="14"/>
  <c r="L153" i="14"/>
  <c r="K153" i="14"/>
  <c r="O152" i="14"/>
  <c r="N152" i="14"/>
  <c r="M152" i="14"/>
  <c r="L152" i="14"/>
  <c r="K152" i="14"/>
  <c r="O151" i="14"/>
  <c r="N151" i="14"/>
  <c r="M151" i="14"/>
  <c r="L151" i="14"/>
  <c r="K151" i="14"/>
  <c r="O150" i="14"/>
  <c r="N150" i="14"/>
  <c r="M150" i="14"/>
  <c r="L150" i="14"/>
  <c r="K150" i="14"/>
  <c r="O149" i="14"/>
  <c r="N149" i="14"/>
  <c r="M149" i="14"/>
  <c r="L149" i="14"/>
  <c r="K149" i="14"/>
  <c r="O148" i="14"/>
  <c r="N148" i="14"/>
  <c r="M148" i="14"/>
  <c r="L148" i="14"/>
  <c r="K148" i="14"/>
  <c r="O147" i="14"/>
  <c r="N147" i="14"/>
  <c r="M147" i="14"/>
  <c r="L147" i="14"/>
  <c r="K147" i="14"/>
  <c r="O146" i="14"/>
  <c r="N146" i="14"/>
  <c r="M146" i="14"/>
  <c r="L146" i="14"/>
  <c r="K146" i="14"/>
  <c r="O145" i="14"/>
  <c r="N145" i="14"/>
  <c r="M145" i="14"/>
  <c r="L145" i="14"/>
  <c r="K145" i="14"/>
  <c r="O144" i="14"/>
  <c r="N144" i="14"/>
  <c r="M144" i="14"/>
  <c r="L144" i="14"/>
  <c r="K144" i="14"/>
  <c r="O143" i="14"/>
  <c r="N143" i="14"/>
  <c r="M143" i="14"/>
  <c r="L143" i="14"/>
  <c r="K143" i="14"/>
  <c r="O142" i="14"/>
  <c r="N142" i="14"/>
  <c r="M142" i="14"/>
  <c r="L142" i="14"/>
  <c r="K142" i="14"/>
  <c r="O141" i="14"/>
  <c r="N141" i="14"/>
  <c r="M141" i="14"/>
  <c r="L141" i="14"/>
  <c r="K141" i="14"/>
  <c r="O140" i="14"/>
  <c r="N140" i="14"/>
  <c r="M140" i="14"/>
  <c r="L140" i="14"/>
  <c r="K140" i="14"/>
  <c r="O139" i="14"/>
  <c r="N139" i="14"/>
  <c r="M139" i="14"/>
  <c r="L139" i="14"/>
  <c r="K139" i="14"/>
  <c r="O138" i="14"/>
  <c r="N138" i="14"/>
  <c r="M138" i="14"/>
  <c r="L138" i="14"/>
  <c r="K138" i="14"/>
  <c r="O137" i="14"/>
  <c r="N137" i="14"/>
  <c r="M137" i="14"/>
  <c r="L137" i="14"/>
  <c r="K137" i="14"/>
  <c r="O136" i="14"/>
  <c r="N136" i="14"/>
  <c r="M136" i="14"/>
  <c r="L136" i="14"/>
  <c r="K136" i="14"/>
  <c r="O135" i="14"/>
  <c r="N135" i="14"/>
  <c r="M135" i="14"/>
  <c r="L135" i="14"/>
  <c r="K135" i="14"/>
  <c r="O134" i="14"/>
  <c r="N134" i="14"/>
  <c r="M134" i="14"/>
  <c r="L134" i="14"/>
  <c r="K134" i="14"/>
  <c r="O133" i="14"/>
  <c r="N133" i="14"/>
  <c r="M133" i="14"/>
  <c r="L133" i="14"/>
  <c r="K133" i="14"/>
  <c r="O132" i="14"/>
  <c r="N132" i="14"/>
  <c r="M132" i="14"/>
  <c r="L132" i="14"/>
  <c r="K132" i="14"/>
  <c r="O131" i="14"/>
  <c r="N131" i="14"/>
  <c r="M131" i="14"/>
  <c r="L131" i="14"/>
  <c r="K131" i="14"/>
  <c r="O130" i="14"/>
  <c r="N130" i="14"/>
  <c r="M130" i="14"/>
  <c r="L130" i="14"/>
  <c r="K130" i="14"/>
  <c r="O129" i="14"/>
  <c r="N129" i="14"/>
  <c r="M129" i="14"/>
  <c r="L129" i="14"/>
  <c r="K129" i="14"/>
  <c r="O128" i="14"/>
  <c r="N128" i="14"/>
  <c r="M128" i="14"/>
  <c r="L128" i="14"/>
  <c r="K128" i="14"/>
  <c r="O127" i="14"/>
  <c r="N127" i="14"/>
  <c r="M127" i="14"/>
  <c r="L127" i="14"/>
  <c r="K127" i="14"/>
  <c r="O126" i="14"/>
  <c r="N126" i="14"/>
  <c r="M126" i="14"/>
  <c r="L126" i="14"/>
  <c r="K126" i="14"/>
  <c r="O125" i="14"/>
  <c r="N125" i="14"/>
  <c r="M125" i="14"/>
  <c r="L125" i="14"/>
  <c r="K125" i="14"/>
  <c r="O124" i="14"/>
  <c r="N124" i="14"/>
  <c r="M124" i="14"/>
  <c r="L124" i="14"/>
  <c r="K124" i="14"/>
  <c r="O123" i="14"/>
  <c r="N123" i="14"/>
  <c r="M123" i="14"/>
  <c r="L123" i="14"/>
  <c r="K123" i="14"/>
  <c r="O122" i="14"/>
  <c r="N122" i="14"/>
  <c r="M122" i="14"/>
  <c r="L122" i="14"/>
  <c r="K122" i="14"/>
  <c r="O121" i="14"/>
  <c r="N121" i="14"/>
  <c r="M121" i="14"/>
  <c r="L121" i="14"/>
  <c r="K121" i="14"/>
  <c r="O120" i="14"/>
  <c r="N120" i="14"/>
  <c r="M120" i="14"/>
  <c r="L120" i="14"/>
  <c r="K120" i="14"/>
  <c r="O119" i="14"/>
  <c r="N119" i="14"/>
  <c r="M119" i="14"/>
  <c r="L119" i="14"/>
  <c r="K119" i="14"/>
  <c r="O118" i="14"/>
  <c r="N118" i="14"/>
  <c r="M118" i="14"/>
  <c r="L118" i="14"/>
  <c r="K118" i="14"/>
  <c r="O117" i="14"/>
  <c r="N117" i="14"/>
  <c r="M117" i="14"/>
  <c r="L117" i="14"/>
  <c r="K117" i="14"/>
  <c r="O116" i="14"/>
  <c r="N116" i="14"/>
  <c r="M116" i="14"/>
  <c r="L116" i="14"/>
  <c r="K116" i="14"/>
  <c r="O115" i="14"/>
  <c r="N115" i="14"/>
  <c r="M115" i="14"/>
  <c r="L115" i="14"/>
  <c r="K115" i="14"/>
  <c r="O114" i="14"/>
  <c r="N114" i="14"/>
  <c r="M114" i="14"/>
  <c r="L114" i="14"/>
  <c r="K114" i="14"/>
  <c r="O113" i="14"/>
  <c r="N113" i="14"/>
  <c r="M113" i="14"/>
  <c r="L113" i="14"/>
  <c r="K113" i="14"/>
  <c r="O112" i="14"/>
  <c r="N112" i="14"/>
  <c r="M112" i="14"/>
  <c r="L112" i="14"/>
  <c r="K112" i="14"/>
  <c r="O111" i="14"/>
  <c r="N111" i="14"/>
  <c r="M111" i="14"/>
  <c r="L111" i="14"/>
  <c r="K111" i="14"/>
  <c r="O110" i="14"/>
  <c r="N110" i="14"/>
  <c r="M110" i="14"/>
  <c r="L110" i="14"/>
  <c r="K110" i="14"/>
  <c r="O109" i="14"/>
  <c r="N109" i="14"/>
  <c r="M109" i="14"/>
  <c r="L109" i="14"/>
  <c r="K109" i="14"/>
  <c r="O108" i="14"/>
  <c r="N108" i="14"/>
  <c r="M108" i="14"/>
  <c r="L108" i="14"/>
  <c r="K108" i="14"/>
  <c r="O107" i="14"/>
  <c r="N107" i="14"/>
  <c r="M107" i="14"/>
  <c r="L107" i="14"/>
  <c r="K107" i="14"/>
  <c r="O106" i="14"/>
  <c r="N106" i="14"/>
  <c r="M106" i="14"/>
  <c r="L106" i="14"/>
  <c r="K106" i="14"/>
  <c r="O105" i="14"/>
  <c r="N105" i="14"/>
  <c r="M105" i="14"/>
  <c r="L105" i="14"/>
  <c r="K105" i="14"/>
  <c r="O104" i="14"/>
  <c r="N104" i="14"/>
  <c r="M104" i="14"/>
  <c r="L104" i="14"/>
  <c r="K104" i="14"/>
  <c r="O103" i="14"/>
  <c r="N103" i="14"/>
  <c r="M103" i="14"/>
  <c r="L103" i="14"/>
  <c r="K103" i="14"/>
  <c r="O102" i="14"/>
  <c r="N102" i="14"/>
  <c r="M102" i="14"/>
  <c r="L102" i="14"/>
  <c r="K102" i="14"/>
  <c r="O101" i="14"/>
  <c r="N101" i="14"/>
  <c r="M101" i="14"/>
  <c r="L101" i="14"/>
  <c r="K101" i="14"/>
  <c r="O100" i="14"/>
  <c r="N100" i="14"/>
  <c r="M100" i="14"/>
  <c r="L100" i="14"/>
  <c r="K100" i="14"/>
  <c r="O99" i="14"/>
  <c r="N99" i="14"/>
  <c r="M99" i="14"/>
  <c r="L99" i="14"/>
  <c r="K99" i="14"/>
  <c r="O98" i="14"/>
  <c r="N98" i="14"/>
  <c r="M98" i="14"/>
  <c r="L98" i="14"/>
  <c r="K98" i="14"/>
  <c r="O97" i="14"/>
  <c r="N97" i="14"/>
  <c r="M97" i="14"/>
  <c r="L97" i="14"/>
  <c r="K97" i="14"/>
  <c r="O96" i="14"/>
  <c r="N96" i="14"/>
  <c r="M96" i="14"/>
  <c r="L96" i="14"/>
  <c r="K96" i="14"/>
  <c r="O95" i="14"/>
  <c r="N95" i="14"/>
  <c r="M95" i="14"/>
  <c r="L95" i="14"/>
  <c r="K95" i="14"/>
  <c r="O94" i="14"/>
  <c r="N94" i="14"/>
  <c r="M94" i="14"/>
  <c r="L94" i="14"/>
  <c r="K94" i="14"/>
  <c r="O93" i="14"/>
  <c r="N93" i="14"/>
  <c r="M93" i="14"/>
  <c r="L93" i="14"/>
  <c r="K93" i="14"/>
  <c r="O92" i="14"/>
  <c r="N92" i="14"/>
  <c r="M92" i="14"/>
  <c r="L92" i="14"/>
  <c r="K92" i="14"/>
  <c r="O91" i="14"/>
  <c r="N91" i="14"/>
  <c r="M91" i="14"/>
  <c r="L91" i="14"/>
  <c r="K91" i="14"/>
  <c r="O90" i="14"/>
  <c r="N90" i="14"/>
  <c r="M90" i="14"/>
  <c r="L90" i="14"/>
  <c r="K90" i="14"/>
  <c r="O89" i="14"/>
  <c r="N89" i="14"/>
  <c r="M89" i="14"/>
  <c r="L89" i="14"/>
  <c r="K89" i="14"/>
  <c r="O88" i="14"/>
  <c r="N88" i="14"/>
  <c r="M88" i="14"/>
  <c r="L88" i="14"/>
  <c r="K88" i="14"/>
  <c r="O87" i="14"/>
  <c r="N87" i="14"/>
  <c r="M87" i="14"/>
  <c r="L87" i="14"/>
  <c r="K87" i="14"/>
  <c r="O86" i="14"/>
  <c r="N86" i="14"/>
  <c r="M86" i="14"/>
  <c r="L86" i="14"/>
  <c r="K86" i="14"/>
  <c r="O85" i="14"/>
  <c r="N85" i="14"/>
  <c r="M85" i="14"/>
  <c r="L85" i="14"/>
  <c r="K85" i="14"/>
  <c r="O84" i="14"/>
  <c r="N84" i="14"/>
  <c r="M84" i="14"/>
  <c r="L84" i="14"/>
  <c r="K84" i="14"/>
  <c r="O83" i="14"/>
  <c r="N83" i="14"/>
  <c r="M83" i="14"/>
  <c r="L83" i="14"/>
  <c r="K83" i="14"/>
  <c r="O82" i="14"/>
  <c r="N82" i="14"/>
  <c r="M82" i="14"/>
  <c r="L82" i="14"/>
  <c r="K82" i="14"/>
  <c r="O81" i="14"/>
  <c r="N81" i="14"/>
  <c r="M81" i="14"/>
  <c r="L81" i="14"/>
  <c r="K81" i="14"/>
  <c r="O80" i="14"/>
  <c r="N80" i="14"/>
  <c r="M80" i="14"/>
  <c r="L80" i="14"/>
  <c r="K80" i="14"/>
  <c r="O79" i="14"/>
  <c r="N79" i="14"/>
  <c r="M79" i="14"/>
  <c r="L79" i="14"/>
  <c r="K79" i="14"/>
  <c r="O78" i="14"/>
  <c r="N78" i="14"/>
  <c r="M78" i="14"/>
  <c r="L78" i="14"/>
  <c r="K78" i="14"/>
  <c r="O77" i="14"/>
  <c r="N77" i="14"/>
  <c r="M77" i="14"/>
  <c r="L77" i="14"/>
  <c r="K77" i="14"/>
  <c r="O76" i="14"/>
  <c r="N76" i="14"/>
  <c r="M76" i="14"/>
  <c r="L76" i="14"/>
  <c r="K76" i="14"/>
  <c r="O75" i="14"/>
  <c r="N75" i="14"/>
  <c r="M75" i="14"/>
  <c r="L75" i="14"/>
  <c r="K75" i="14"/>
  <c r="O74" i="14"/>
  <c r="N74" i="14"/>
  <c r="M74" i="14"/>
  <c r="L74" i="14"/>
  <c r="K74" i="14"/>
  <c r="O73" i="14"/>
  <c r="N73" i="14"/>
  <c r="M73" i="14"/>
  <c r="L73" i="14"/>
  <c r="K73" i="14"/>
  <c r="O72" i="14"/>
  <c r="N72" i="14"/>
  <c r="M72" i="14"/>
  <c r="L72" i="14"/>
  <c r="K72" i="14"/>
  <c r="O71" i="14"/>
  <c r="N71" i="14"/>
  <c r="M71" i="14"/>
  <c r="L71" i="14"/>
  <c r="K71" i="14"/>
  <c r="O70" i="14"/>
  <c r="N70" i="14"/>
  <c r="M70" i="14"/>
  <c r="L70" i="14"/>
  <c r="K70" i="14"/>
  <c r="O69" i="14"/>
  <c r="N69" i="14"/>
  <c r="M69" i="14"/>
  <c r="L69" i="14"/>
  <c r="K69" i="14"/>
  <c r="O68" i="14"/>
  <c r="N68" i="14"/>
  <c r="M68" i="14"/>
  <c r="L68" i="14"/>
  <c r="K68" i="14"/>
  <c r="O67" i="14"/>
  <c r="N67" i="14"/>
  <c r="M67" i="14"/>
  <c r="L67" i="14"/>
  <c r="K67" i="14"/>
  <c r="O66" i="14"/>
  <c r="N66" i="14"/>
  <c r="M66" i="14"/>
  <c r="L66" i="14"/>
  <c r="K66" i="14"/>
  <c r="O65" i="14"/>
  <c r="N65" i="14"/>
  <c r="M65" i="14"/>
  <c r="L65" i="14"/>
  <c r="K65" i="14"/>
  <c r="O64" i="14"/>
  <c r="N64" i="14"/>
  <c r="M64" i="14"/>
  <c r="L64" i="14"/>
  <c r="K64" i="14"/>
  <c r="O63" i="14"/>
  <c r="N63" i="14"/>
  <c r="M63" i="14"/>
  <c r="L63" i="14"/>
  <c r="K63" i="14"/>
  <c r="O62" i="14"/>
  <c r="N62" i="14"/>
  <c r="M62" i="14"/>
  <c r="L62" i="14"/>
  <c r="K62" i="14"/>
  <c r="O61" i="14"/>
  <c r="N61" i="14"/>
  <c r="M61" i="14"/>
  <c r="L61" i="14"/>
  <c r="K61" i="14"/>
  <c r="O60" i="14"/>
  <c r="N60" i="14"/>
  <c r="M60" i="14"/>
  <c r="L60" i="14"/>
  <c r="K60" i="14"/>
  <c r="O59" i="14"/>
  <c r="N59" i="14"/>
  <c r="M59" i="14"/>
  <c r="L59" i="14"/>
  <c r="K59" i="14"/>
  <c r="O58" i="14"/>
  <c r="N58" i="14"/>
  <c r="M58" i="14"/>
  <c r="L58" i="14"/>
  <c r="K58" i="14"/>
  <c r="O57" i="14"/>
  <c r="N57" i="14"/>
  <c r="M57" i="14"/>
  <c r="L57" i="14"/>
  <c r="K57" i="14"/>
  <c r="O56" i="14"/>
  <c r="N56" i="14"/>
  <c r="M56" i="14"/>
  <c r="L56" i="14"/>
  <c r="K56" i="14"/>
  <c r="O55" i="14"/>
  <c r="N55" i="14"/>
  <c r="M55" i="14"/>
  <c r="L55" i="14"/>
  <c r="K55" i="14"/>
  <c r="O54" i="14"/>
  <c r="N54" i="14"/>
  <c r="M54" i="14"/>
  <c r="L54" i="14"/>
  <c r="K54" i="14"/>
  <c r="O53" i="14"/>
  <c r="N53" i="14"/>
  <c r="M53" i="14"/>
  <c r="L53" i="14"/>
  <c r="K53" i="14"/>
  <c r="O52" i="14"/>
  <c r="N52" i="14"/>
  <c r="M52" i="14"/>
  <c r="L52" i="14"/>
  <c r="K52" i="14"/>
  <c r="O51" i="14"/>
  <c r="N51" i="14"/>
  <c r="M51" i="14"/>
  <c r="L51" i="14"/>
  <c r="K51" i="14"/>
  <c r="O50" i="14"/>
  <c r="N50" i="14"/>
  <c r="M50" i="14"/>
  <c r="L50" i="14"/>
  <c r="K50" i="14"/>
  <c r="O49" i="14"/>
  <c r="N49" i="14"/>
  <c r="M49" i="14"/>
  <c r="L49" i="14"/>
  <c r="K49" i="14"/>
  <c r="O48" i="14"/>
  <c r="N48" i="14"/>
  <c r="M48" i="14"/>
  <c r="L48" i="14"/>
  <c r="K48" i="14"/>
  <c r="O47" i="14"/>
  <c r="N47" i="14"/>
  <c r="M47" i="14"/>
  <c r="L47" i="14"/>
  <c r="K47" i="14"/>
  <c r="O46" i="14"/>
  <c r="N46" i="14"/>
  <c r="M46" i="14"/>
  <c r="L46" i="14"/>
  <c r="K46" i="14"/>
  <c r="O45" i="14"/>
  <c r="N45" i="14"/>
  <c r="M45" i="14"/>
  <c r="L45" i="14"/>
  <c r="K45" i="14"/>
  <c r="O44" i="14"/>
  <c r="N44" i="14"/>
  <c r="M44" i="14"/>
  <c r="L44" i="14"/>
  <c r="K44" i="14"/>
  <c r="O43" i="14"/>
  <c r="N43" i="14"/>
  <c r="M43" i="14"/>
  <c r="L43" i="14"/>
  <c r="K43" i="14"/>
  <c r="O42" i="14"/>
  <c r="N42" i="14"/>
  <c r="M42" i="14"/>
  <c r="L42" i="14"/>
  <c r="K42" i="14"/>
  <c r="O41" i="14"/>
  <c r="N41" i="14"/>
  <c r="M41" i="14"/>
  <c r="L41" i="14"/>
  <c r="K41" i="14"/>
  <c r="O40" i="14"/>
  <c r="N40" i="14"/>
  <c r="M40" i="14"/>
  <c r="L40" i="14"/>
  <c r="K40" i="14"/>
  <c r="O39" i="14"/>
  <c r="N39" i="14"/>
  <c r="M39" i="14"/>
  <c r="L39" i="14"/>
  <c r="K39" i="14"/>
  <c r="O38" i="14"/>
  <c r="N38" i="14"/>
  <c r="M38" i="14"/>
  <c r="L38" i="14"/>
  <c r="K38" i="14"/>
  <c r="O37" i="14"/>
  <c r="N37" i="14"/>
  <c r="M37" i="14"/>
  <c r="L37" i="14"/>
  <c r="K37" i="14"/>
  <c r="O36" i="14"/>
  <c r="N36" i="14"/>
  <c r="M36" i="14"/>
  <c r="L36" i="14"/>
  <c r="K36" i="14"/>
  <c r="O35" i="14"/>
  <c r="N35" i="14"/>
  <c r="M35" i="14"/>
  <c r="L35" i="14"/>
  <c r="K35" i="14"/>
  <c r="O34" i="14"/>
  <c r="N34" i="14"/>
  <c r="M34" i="14"/>
  <c r="L34" i="14"/>
  <c r="K34" i="14"/>
  <c r="O33" i="14"/>
  <c r="N33" i="14"/>
  <c r="M33" i="14"/>
  <c r="L33" i="14"/>
  <c r="K33" i="14"/>
  <c r="O32" i="14"/>
  <c r="N32" i="14"/>
  <c r="M32" i="14"/>
  <c r="L32" i="14"/>
  <c r="K32" i="14"/>
  <c r="O31" i="14"/>
  <c r="N31" i="14"/>
  <c r="M31" i="14"/>
  <c r="L31" i="14"/>
  <c r="K31" i="14"/>
  <c r="O30" i="14"/>
  <c r="N30" i="14"/>
  <c r="M30" i="14"/>
  <c r="L30" i="14"/>
  <c r="K30" i="14"/>
  <c r="O29" i="14"/>
  <c r="N29" i="14"/>
  <c r="M29" i="14"/>
  <c r="L29" i="14"/>
  <c r="K29" i="14"/>
  <c r="O28" i="14"/>
  <c r="N28" i="14"/>
  <c r="M28" i="14"/>
  <c r="L28" i="14"/>
  <c r="K28" i="14"/>
  <c r="O27" i="14"/>
  <c r="N27" i="14"/>
  <c r="M27" i="14"/>
  <c r="L27" i="14"/>
  <c r="K27" i="14"/>
  <c r="O26" i="14"/>
  <c r="N26" i="14"/>
  <c r="M26" i="14"/>
  <c r="L26" i="14"/>
  <c r="K26" i="14"/>
  <c r="O25" i="14"/>
  <c r="N25" i="14"/>
  <c r="M25" i="14"/>
  <c r="L25" i="14"/>
  <c r="K25" i="14"/>
  <c r="O24" i="14"/>
  <c r="N24" i="14"/>
  <c r="M24" i="14"/>
  <c r="L24" i="14"/>
  <c r="K24" i="14"/>
  <c r="O23" i="14"/>
  <c r="N23" i="14"/>
  <c r="M23" i="14"/>
  <c r="L23" i="14"/>
  <c r="K23" i="14"/>
  <c r="O22" i="14"/>
  <c r="N22" i="14"/>
  <c r="M22" i="14"/>
  <c r="L22" i="14"/>
  <c r="K22" i="14"/>
  <c r="O21" i="14"/>
  <c r="N21" i="14"/>
  <c r="M21" i="14"/>
  <c r="L21" i="14"/>
  <c r="K21" i="14"/>
  <c r="O20" i="14"/>
  <c r="N20" i="14"/>
  <c r="M20" i="14"/>
  <c r="L20" i="14"/>
  <c r="K20" i="14"/>
  <c r="O19" i="14"/>
  <c r="N19" i="14"/>
  <c r="M19" i="14"/>
  <c r="L19" i="14"/>
  <c r="K19" i="14"/>
  <c r="O18" i="14"/>
  <c r="N18" i="14"/>
  <c r="M18" i="14"/>
  <c r="L18" i="14"/>
  <c r="K18" i="14"/>
  <c r="O17" i="14"/>
  <c r="N17" i="14"/>
  <c r="M17" i="14"/>
  <c r="L17" i="14"/>
  <c r="K17" i="14"/>
  <c r="O16" i="14"/>
  <c r="N16" i="14"/>
  <c r="M16" i="14"/>
  <c r="L16" i="14"/>
  <c r="K16" i="14"/>
  <c r="O15" i="14"/>
  <c r="N15" i="14"/>
  <c r="M15" i="14"/>
  <c r="L15" i="14"/>
  <c r="K15" i="14"/>
  <c r="O14" i="14"/>
  <c r="N14" i="14"/>
  <c r="M14" i="14"/>
  <c r="L14" i="14"/>
  <c r="K14" i="14"/>
  <c r="O13" i="14"/>
  <c r="N13" i="14"/>
  <c r="M13" i="14"/>
  <c r="L13" i="14"/>
  <c r="K13" i="14"/>
  <c r="O12" i="14"/>
  <c r="N12" i="14"/>
  <c r="M12" i="14"/>
  <c r="L12" i="14"/>
  <c r="K12" i="14"/>
  <c r="O11" i="14"/>
  <c r="N11" i="14"/>
  <c r="M11" i="14"/>
  <c r="L11" i="14"/>
  <c r="K11" i="14"/>
  <c r="O10" i="14"/>
  <c r="N10" i="14"/>
  <c r="M10" i="14"/>
  <c r="L10" i="14"/>
  <c r="K10" i="14"/>
  <c r="O9" i="14"/>
  <c r="N9" i="14"/>
  <c r="M9" i="14"/>
  <c r="L9" i="14"/>
  <c r="K9" i="14"/>
  <c r="O8" i="14"/>
  <c r="N8" i="14"/>
  <c r="M8" i="14"/>
  <c r="L8" i="14"/>
  <c r="K8" i="14"/>
  <c r="O7" i="14"/>
  <c r="N7" i="14"/>
  <c r="M7" i="14"/>
  <c r="L7" i="14"/>
  <c r="K7" i="14"/>
  <c r="O6" i="14"/>
  <c r="N6" i="14"/>
  <c r="M6" i="14"/>
  <c r="L6" i="14"/>
  <c r="K6" i="14"/>
  <c r="O5" i="14"/>
  <c r="N5" i="14"/>
  <c r="M5" i="14"/>
  <c r="L5" i="14"/>
  <c r="K5" i="14"/>
  <c r="O4" i="14"/>
  <c r="N4" i="14"/>
  <c r="M4" i="14"/>
  <c r="L4" i="14"/>
  <c r="K4" i="14"/>
  <c r="HH2" i="14"/>
  <c r="HF2" i="14"/>
  <c r="HD2" i="14"/>
  <c r="HB2" i="14"/>
  <c r="GZ2" i="14"/>
  <c r="GX2" i="14"/>
  <c r="GV2" i="14"/>
  <c r="GU2" i="14"/>
  <c r="GT2" i="14"/>
  <c r="GR2" i="14"/>
  <c r="GP2" i="14"/>
  <c r="GN2" i="14"/>
  <c r="GL2" i="14"/>
  <c r="GJ2" i="14"/>
  <c r="GH2" i="14"/>
  <c r="GF2" i="14"/>
  <c r="GE2" i="14"/>
  <c r="GD2" i="14"/>
  <c r="GB2" i="14"/>
  <c r="FZ2" i="14"/>
  <c r="FX2" i="14"/>
  <c r="FV2" i="14"/>
  <c r="FT2" i="14"/>
  <c r="FR2" i="14"/>
  <c r="FP2" i="14"/>
  <c r="FO2" i="14"/>
  <c r="FN2" i="14"/>
  <c r="FL2" i="14"/>
  <c r="FJ2" i="14"/>
  <c r="FH2" i="14"/>
  <c r="FF2" i="14"/>
  <c r="FD2" i="14"/>
  <c r="FB2" i="14"/>
  <c r="EZ2" i="14"/>
  <c r="EY2" i="14"/>
  <c r="EX2" i="14"/>
  <c r="EV2" i="14"/>
  <c r="ET2" i="14"/>
  <c r="ER2" i="14"/>
  <c r="EP2" i="14"/>
  <c r="EN2" i="14"/>
  <c r="EL2" i="14"/>
  <c r="EJ2" i="14"/>
  <c r="EI2" i="14"/>
  <c r="EH2" i="14"/>
  <c r="EF2" i="14"/>
  <c r="ED2" i="14"/>
  <c r="EB2" i="14"/>
  <c r="DZ2" i="14"/>
  <c r="DX2" i="14"/>
  <c r="DV2" i="14"/>
  <c r="DT2" i="14"/>
  <c r="DS2" i="14"/>
  <c r="DR2" i="14"/>
  <c r="DP2" i="14"/>
  <c r="DN2" i="14"/>
  <c r="DL2" i="14"/>
  <c r="DJ2" i="14"/>
  <c r="DH2" i="14"/>
  <c r="DG2" i="14"/>
  <c r="DF2" i="14"/>
  <c r="DD2" i="14"/>
  <c r="DB2" i="14"/>
  <c r="CZ2" i="14"/>
  <c r="CX2" i="14"/>
  <c r="CV2" i="14"/>
  <c r="CT2" i="14"/>
  <c r="CR2" i="14"/>
  <c r="CQ2" i="14"/>
  <c r="CP2" i="14"/>
  <c r="CN2" i="14"/>
  <c r="CL2" i="14"/>
  <c r="CJ2" i="14"/>
  <c r="CH2" i="14"/>
  <c r="CF2" i="14"/>
  <c r="CD2" i="14"/>
  <c r="CB2" i="14"/>
  <c r="CA2" i="14"/>
  <c r="BZ2" i="14"/>
  <c r="BX2" i="14"/>
  <c r="BV2" i="14"/>
  <c r="BR2" i="14"/>
  <c r="BP2" i="14"/>
  <c r="BO2" i="14"/>
  <c r="BN2" i="14"/>
  <c r="BL2" i="14"/>
  <c r="BJ2" i="14"/>
  <c r="BH2" i="14"/>
  <c r="BF2" i="14"/>
  <c r="BD2" i="14"/>
  <c r="BB2" i="14"/>
  <c r="AZ2" i="14"/>
  <c r="AY2" i="14"/>
  <c r="AX2" i="14"/>
  <c r="AV2" i="14"/>
  <c r="AT2" i="14"/>
  <c r="AR2" i="14"/>
  <c r="AP2" i="14"/>
  <c r="AN2" i="14"/>
  <c r="AL2" i="14"/>
  <c r="AJ2" i="14"/>
  <c r="AI2" i="14"/>
  <c r="AH2" i="14"/>
  <c r="AF2" i="14"/>
  <c r="AD2" i="14"/>
  <c r="AB2" i="14"/>
  <c r="Z2" i="14"/>
  <c r="X2" i="14"/>
  <c r="J2" i="14"/>
  <c r="H2" i="14"/>
  <c r="HH221" i="13"/>
  <c r="HH2" i="13" s="1"/>
  <c r="HG221" i="13"/>
  <c r="HG2" i="13" s="1"/>
  <c r="HF221" i="13"/>
  <c r="HF2" i="13" s="1"/>
  <c r="HE221" i="13"/>
  <c r="HD221" i="13"/>
  <c r="HD2" i="13" s="1"/>
  <c r="HC221" i="13"/>
  <c r="HC2" i="13" s="1"/>
  <c r="HB221" i="13"/>
  <c r="HB2" i="13" s="1"/>
  <c r="HA221" i="13"/>
  <c r="GZ221" i="13"/>
  <c r="GZ2" i="13" s="1"/>
  <c r="GY221" i="13"/>
  <c r="GY2" i="13" s="1"/>
  <c r="GX221" i="13"/>
  <c r="GX2" i="13" s="1"/>
  <c r="GW221" i="13"/>
  <c r="GV221" i="13"/>
  <c r="GU221" i="13"/>
  <c r="GU2" i="13" s="1"/>
  <c r="GT221" i="13"/>
  <c r="GS221" i="13"/>
  <c r="GR221" i="13"/>
  <c r="GR2" i="13" s="1"/>
  <c r="GQ221" i="13"/>
  <c r="GQ2" i="13" s="1"/>
  <c r="GP221" i="13"/>
  <c r="GP2" i="13" s="1"/>
  <c r="GO221" i="13"/>
  <c r="GO2" i="13" s="1"/>
  <c r="GN221" i="13"/>
  <c r="GN2" i="13" s="1"/>
  <c r="GM221" i="13"/>
  <c r="GM2" i="13" s="1"/>
  <c r="GL221" i="13"/>
  <c r="GL2" i="13" s="1"/>
  <c r="GK221" i="13"/>
  <c r="GK2" i="13" s="1"/>
  <c r="GJ221" i="13"/>
  <c r="GJ2" i="13" s="1"/>
  <c r="GI221" i="13"/>
  <c r="GI2" i="13" s="1"/>
  <c r="GH221" i="13"/>
  <c r="GG221" i="13"/>
  <c r="GG2" i="13" s="1"/>
  <c r="GF221" i="13"/>
  <c r="GF2" i="13" s="1"/>
  <c r="GE221" i="13"/>
  <c r="GE2" i="13" s="1"/>
  <c r="GD221" i="13"/>
  <c r="GD2" i="13" s="1"/>
  <c r="GC221" i="13"/>
  <c r="GC2" i="13" s="1"/>
  <c r="GB221" i="13"/>
  <c r="GB2" i="13" s="1"/>
  <c r="GA221" i="13"/>
  <c r="GA2" i="13" s="1"/>
  <c r="FZ221" i="13"/>
  <c r="FZ2" i="13" s="1"/>
  <c r="FY221" i="13"/>
  <c r="FY2" i="13" s="1"/>
  <c r="FX221" i="13"/>
  <c r="FX2" i="13" s="1"/>
  <c r="FW221" i="13"/>
  <c r="FW2" i="13" s="1"/>
  <c r="FV221" i="13"/>
  <c r="FV2" i="13" s="1"/>
  <c r="FU221" i="13"/>
  <c r="FU2" i="13" s="1"/>
  <c r="FT221" i="13"/>
  <c r="FT2" i="13" s="1"/>
  <c r="FS221" i="13"/>
  <c r="FS2" i="13" s="1"/>
  <c r="FR221" i="13"/>
  <c r="FQ221" i="13"/>
  <c r="FQ2" i="13" s="1"/>
  <c r="FP221" i="13"/>
  <c r="FP2" i="13" s="1"/>
  <c r="FO221" i="13"/>
  <c r="FO2" i="13" s="1"/>
  <c r="FN221" i="13"/>
  <c r="FN2" i="13" s="1"/>
  <c r="FM221" i="13"/>
  <c r="FM2" i="13" s="1"/>
  <c r="FL221" i="13"/>
  <c r="FL2" i="13" s="1"/>
  <c r="FK221" i="13"/>
  <c r="FK2" i="13" s="1"/>
  <c r="FJ221" i="13"/>
  <c r="FJ2" i="13" s="1"/>
  <c r="FI221" i="13"/>
  <c r="FI2" i="13" s="1"/>
  <c r="FH221" i="13"/>
  <c r="FH2" i="13" s="1"/>
  <c r="FG221" i="13"/>
  <c r="FG2" i="13" s="1"/>
  <c r="FF221" i="13"/>
  <c r="FF2" i="13" s="1"/>
  <c r="FE221" i="13"/>
  <c r="FE2" i="13" s="1"/>
  <c r="FD221" i="13"/>
  <c r="FD2" i="13" s="1"/>
  <c r="FC221" i="13"/>
  <c r="FC2" i="13" s="1"/>
  <c r="FB221" i="13"/>
  <c r="FA221" i="13"/>
  <c r="FA2" i="13" s="1"/>
  <c r="EZ221" i="13"/>
  <c r="EZ2" i="13" s="1"/>
  <c r="EY221" i="13"/>
  <c r="EY2" i="13" s="1"/>
  <c r="EX221" i="13"/>
  <c r="EX2" i="13" s="1"/>
  <c r="EW221" i="13"/>
  <c r="EW2" i="13" s="1"/>
  <c r="EV221" i="13"/>
  <c r="EV2" i="13" s="1"/>
  <c r="EU221" i="13"/>
  <c r="EU2" i="13" s="1"/>
  <c r="ET221" i="13"/>
  <c r="ET2" i="13" s="1"/>
  <c r="ES221" i="13"/>
  <c r="ES2" i="13" s="1"/>
  <c r="ER221" i="13"/>
  <c r="ER2" i="13" s="1"/>
  <c r="EQ221" i="13"/>
  <c r="EQ2" i="13" s="1"/>
  <c r="EP221" i="13"/>
  <c r="EP2" i="13" s="1"/>
  <c r="EO221" i="13"/>
  <c r="EO2" i="13" s="1"/>
  <c r="EN221" i="13"/>
  <c r="EN2" i="13" s="1"/>
  <c r="EM221" i="13"/>
  <c r="EM2" i="13" s="1"/>
  <c r="EL221" i="13"/>
  <c r="EK221" i="13"/>
  <c r="EK2" i="13" s="1"/>
  <c r="EJ221" i="13"/>
  <c r="EJ2" i="13" s="1"/>
  <c r="EI221" i="13"/>
  <c r="EI2" i="13" s="1"/>
  <c r="EH221" i="13"/>
  <c r="EH2" i="13" s="1"/>
  <c r="EG221" i="13"/>
  <c r="EG2" i="13" s="1"/>
  <c r="EF221" i="13"/>
  <c r="EF2" i="13" s="1"/>
  <c r="EE221" i="13"/>
  <c r="EE2" i="13" s="1"/>
  <c r="ED221" i="13"/>
  <c r="ED2" i="13" s="1"/>
  <c r="EC221" i="13"/>
  <c r="EC2" i="13" s="1"/>
  <c r="EB221" i="13"/>
  <c r="EB2" i="13" s="1"/>
  <c r="EA221" i="13"/>
  <c r="EA2" i="13" s="1"/>
  <c r="DZ221" i="13"/>
  <c r="DZ2" i="13" s="1"/>
  <c r="DY221" i="13"/>
  <c r="DY2" i="13" s="1"/>
  <c r="DX221" i="13"/>
  <c r="DX2" i="13" s="1"/>
  <c r="DW221" i="13"/>
  <c r="DW2" i="13" s="1"/>
  <c r="DV221" i="13"/>
  <c r="DU221" i="13"/>
  <c r="DU2" i="13" s="1"/>
  <c r="DT221" i="13"/>
  <c r="DT2" i="13" s="1"/>
  <c r="DS221" i="13"/>
  <c r="DS2" i="13" s="1"/>
  <c r="DR221" i="13"/>
  <c r="DR2" i="13" s="1"/>
  <c r="DQ221" i="13"/>
  <c r="DQ2" i="13" s="1"/>
  <c r="DP221" i="13"/>
  <c r="DP2" i="13" s="1"/>
  <c r="DO221" i="13"/>
  <c r="DO2" i="13" s="1"/>
  <c r="DN221" i="13"/>
  <c r="DN2" i="13" s="1"/>
  <c r="DM221" i="13"/>
  <c r="DM2" i="13" s="1"/>
  <c r="DL221" i="13"/>
  <c r="DL2" i="13" s="1"/>
  <c r="DK221" i="13"/>
  <c r="DK2" i="13" s="1"/>
  <c r="DJ221" i="13"/>
  <c r="DJ2" i="13" s="1"/>
  <c r="DI221" i="13"/>
  <c r="DI2" i="13" s="1"/>
  <c r="DH221" i="13"/>
  <c r="DH2" i="13" s="1"/>
  <c r="DG221" i="13"/>
  <c r="DG2" i="13" s="1"/>
  <c r="DF221" i="13"/>
  <c r="DE221" i="13"/>
  <c r="DE2" i="13" s="1"/>
  <c r="DD221" i="13"/>
  <c r="DD2" i="13" s="1"/>
  <c r="DC221" i="13"/>
  <c r="DC2" i="13" s="1"/>
  <c r="DB221" i="13"/>
  <c r="DB2" i="13" s="1"/>
  <c r="DA221" i="13"/>
  <c r="DA2" i="13" s="1"/>
  <c r="CZ221" i="13"/>
  <c r="CZ2" i="13" s="1"/>
  <c r="CY221" i="13"/>
  <c r="CY2" i="13" s="1"/>
  <c r="CX221" i="13"/>
  <c r="CX2" i="13" s="1"/>
  <c r="CW221" i="13"/>
  <c r="CW2" i="13" s="1"/>
  <c r="CV221" i="13"/>
  <c r="CV2" i="13" s="1"/>
  <c r="CU221" i="13"/>
  <c r="CU2" i="13" s="1"/>
  <c r="CT221" i="13"/>
  <c r="CT2" i="13" s="1"/>
  <c r="CS221" i="13"/>
  <c r="CS2" i="13" s="1"/>
  <c r="CR221" i="13"/>
  <c r="CR2" i="13" s="1"/>
  <c r="CQ221" i="13"/>
  <c r="CQ2" i="13" s="1"/>
  <c r="CP221" i="13"/>
  <c r="CO221" i="13"/>
  <c r="CO2" i="13" s="1"/>
  <c r="CN221" i="13"/>
  <c r="CN2" i="13" s="1"/>
  <c r="CM221" i="13"/>
  <c r="CM2" i="13" s="1"/>
  <c r="CL221" i="13"/>
  <c r="CL2" i="13" s="1"/>
  <c r="CK221" i="13"/>
  <c r="CK2" i="13" s="1"/>
  <c r="CJ221" i="13"/>
  <c r="CJ2" i="13" s="1"/>
  <c r="CI221" i="13"/>
  <c r="CI2" i="13" s="1"/>
  <c r="CH221" i="13"/>
  <c r="CH2" i="13" s="1"/>
  <c r="CG221" i="13"/>
  <c r="CG2" i="13" s="1"/>
  <c r="CF221" i="13"/>
  <c r="CF2" i="13" s="1"/>
  <c r="CE221" i="13"/>
  <c r="CE2" i="13" s="1"/>
  <c r="CD221" i="13"/>
  <c r="CD2" i="13" s="1"/>
  <c r="CC221" i="13"/>
  <c r="CC2" i="13" s="1"/>
  <c r="CB221" i="13"/>
  <c r="CB2" i="13" s="1"/>
  <c r="CA221" i="13"/>
  <c r="CA2" i="13" s="1"/>
  <c r="BZ221" i="13"/>
  <c r="BY221" i="13"/>
  <c r="BY2" i="13" s="1"/>
  <c r="BX221" i="13"/>
  <c r="BX2" i="13" s="1"/>
  <c r="BW221" i="13"/>
  <c r="BW2" i="13" s="1"/>
  <c r="BV221" i="13"/>
  <c r="BV2" i="13" s="1"/>
  <c r="BU221" i="13"/>
  <c r="BU2" i="13" s="1"/>
  <c r="BT221" i="13"/>
  <c r="BT2" i="13" s="1"/>
  <c r="BS221" i="13"/>
  <c r="BS2" i="13" s="1"/>
  <c r="BR221" i="13"/>
  <c r="BR2" i="13" s="1"/>
  <c r="BQ221" i="13"/>
  <c r="BQ2" i="13" s="1"/>
  <c r="BP221" i="13"/>
  <c r="BP2" i="13" s="1"/>
  <c r="BO221" i="13"/>
  <c r="BO2" i="13" s="1"/>
  <c r="BN221" i="13"/>
  <c r="BN2" i="13" s="1"/>
  <c r="BM221" i="13"/>
  <c r="BM2" i="13" s="1"/>
  <c r="BL221" i="13"/>
  <c r="BL2" i="13" s="1"/>
  <c r="BK221" i="13"/>
  <c r="BK2" i="13" s="1"/>
  <c r="BJ221" i="13"/>
  <c r="BI221" i="13"/>
  <c r="BI2" i="13" s="1"/>
  <c r="BH221" i="13"/>
  <c r="BG221" i="13"/>
  <c r="BG2" i="13" s="1"/>
  <c r="BF221" i="13"/>
  <c r="BF2" i="13" s="1"/>
  <c r="BE221" i="13"/>
  <c r="BE2" i="13" s="1"/>
  <c r="BD221" i="13"/>
  <c r="BD2" i="13" s="1"/>
  <c r="BC221" i="13"/>
  <c r="BC2" i="13" s="1"/>
  <c r="BB221" i="13"/>
  <c r="BB2" i="13" s="1"/>
  <c r="BA221" i="13"/>
  <c r="BA2" i="13" s="1"/>
  <c r="AZ221" i="13"/>
  <c r="AY221" i="13"/>
  <c r="AY2" i="13" s="1"/>
  <c r="AX221" i="13"/>
  <c r="AX2" i="13" s="1"/>
  <c r="AW221" i="13"/>
  <c r="AW2" i="13" s="1"/>
  <c r="AV221" i="13"/>
  <c r="AV2" i="13" s="1"/>
  <c r="AU221" i="13"/>
  <c r="AU2" i="13" s="1"/>
  <c r="AT221" i="13"/>
  <c r="AT2" i="13" s="1"/>
  <c r="AS221" i="13"/>
  <c r="AS2" i="13" s="1"/>
  <c r="AR221" i="13"/>
  <c r="AQ221" i="13"/>
  <c r="AQ2" i="13" s="1"/>
  <c r="AP221" i="13"/>
  <c r="AO221" i="13"/>
  <c r="AO2" i="13" s="1"/>
  <c r="AN221" i="13"/>
  <c r="AN2" i="13" s="1"/>
  <c r="AM221" i="13"/>
  <c r="AM2" i="13" s="1"/>
  <c r="AL221" i="13"/>
  <c r="AL2" i="13" s="1"/>
  <c r="AK221" i="13"/>
  <c r="AK2" i="13" s="1"/>
  <c r="AJ221" i="13"/>
  <c r="AI221" i="13"/>
  <c r="AI2" i="13" s="1"/>
  <c r="AH221" i="13"/>
  <c r="AH2" i="13" s="1"/>
  <c r="AG221" i="13"/>
  <c r="AG2" i="13" s="1"/>
  <c r="AF221" i="13"/>
  <c r="AF2" i="13" s="1"/>
  <c r="AE221" i="13"/>
  <c r="AE2" i="13" s="1"/>
  <c r="AD221" i="13"/>
  <c r="AC221" i="13"/>
  <c r="AC2" i="13" s="1"/>
  <c r="AB221" i="13"/>
  <c r="AA221" i="13"/>
  <c r="AA2" i="13" s="1"/>
  <c r="Z221" i="13"/>
  <c r="Z2" i="13" s="1"/>
  <c r="Y221" i="13"/>
  <c r="Y2" i="13" s="1"/>
  <c r="X221" i="13"/>
  <c r="X2" i="13" s="1"/>
  <c r="W221" i="13"/>
  <c r="W2" i="13" s="1"/>
  <c r="V221" i="13"/>
  <c r="V2" i="13" s="1"/>
  <c r="U221" i="13"/>
  <c r="U2" i="13" s="1"/>
  <c r="T221" i="13"/>
  <c r="S221" i="13"/>
  <c r="S2" i="13" s="1"/>
  <c r="R221" i="13"/>
  <c r="R2" i="13" s="1"/>
  <c r="Q221" i="13"/>
  <c r="Q2" i="13" s="1"/>
  <c r="J221" i="13"/>
  <c r="J2" i="13" s="1"/>
  <c r="I221" i="13"/>
  <c r="I2" i="13" s="1"/>
  <c r="H221" i="13"/>
  <c r="H2" i="13" s="1"/>
  <c r="G221" i="13"/>
  <c r="G2" i="13" s="1"/>
  <c r="F221" i="13"/>
  <c r="F2" i="13" s="1"/>
  <c r="E221" i="13"/>
  <c r="E2" i="13" s="1"/>
  <c r="O220" i="13"/>
  <c r="N220" i="13"/>
  <c r="M220" i="13"/>
  <c r="L220" i="13"/>
  <c r="K220" i="13"/>
  <c r="O219" i="13"/>
  <c r="N219" i="13"/>
  <c r="M219" i="13"/>
  <c r="L219" i="13"/>
  <c r="K219" i="13"/>
  <c r="O218" i="13"/>
  <c r="N218" i="13"/>
  <c r="M218" i="13"/>
  <c r="L218" i="13"/>
  <c r="K218" i="13"/>
  <c r="O217" i="13"/>
  <c r="N217" i="13"/>
  <c r="M217" i="13"/>
  <c r="L217" i="13"/>
  <c r="K217" i="13"/>
  <c r="O216" i="13"/>
  <c r="N216" i="13"/>
  <c r="M216" i="13"/>
  <c r="L216" i="13"/>
  <c r="K216" i="13"/>
  <c r="O215" i="13"/>
  <c r="N215" i="13"/>
  <c r="M215" i="13"/>
  <c r="L215" i="13"/>
  <c r="K215" i="13"/>
  <c r="O214" i="13"/>
  <c r="N214" i="13"/>
  <c r="M214" i="13"/>
  <c r="L214" i="13"/>
  <c r="K214" i="13"/>
  <c r="O213" i="13"/>
  <c r="N213" i="13"/>
  <c r="M213" i="13"/>
  <c r="L213" i="13"/>
  <c r="K213" i="13"/>
  <c r="O212" i="13"/>
  <c r="N212" i="13"/>
  <c r="M212" i="13"/>
  <c r="L212" i="13"/>
  <c r="K212" i="13"/>
  <c r="O211" i="13"/>
  <c r="N211" i="13"/>
  <c r="M211" i="13"/>
  <c r="L211" i="13"/>
  <c r="K211" i="13"/>
  <c r="O210" i="13"/>
  <c r="N210" i="13"/>
  <c r="M210" i="13"/>
  <c r="L210" i="13"/>
  <c r="K210" i="13"/>
  <c r="O209" i="13"/>
  <c r="N209" i="13"/>
  <c r="M209" i="13"/>
  <c r="L209" i="13"/>
  <c r="K209" i="13"/>
  <c r="O208" i="13"/>
  <c r="N208" i="13"/>
  <c r="M208" i="13"/>
  <c r="L208" i="13"/>
  <c r="K208" i="13"/>
  <c r="O207" i="13"/>
  <c r="N207" i="13"/>
  <c r="M207" i="13"/>
  <c r="L207" i="13"/>
  <c r="K207" i="13"/>
  <c r="O206" i="13"/>
  <c r="N206" i="13"/>
  <c r="M206" i="13"/>
  <c r="L206" i="13"/>
  <c r="K206" i="13"/>
  <c r="O205" i="13"/>
  <c r="N205" i="13"/>
  <c r="M205" i="13"/>
  <c r="L205" i="13"/>
  <c r="K205" i="13"/>
  <c r="O204" i="13"/>
  <c r="N204" i="13"/>
  <c r="M204" i="13"/>
  <c r="L204" i="13"/>
  <c r="K204" i="13"/>
  <c r="O203" i="13"/>
  <c r="N203" i="13"/>
  <c r="M203" i="13"/>
  <c r="L203" i="13"/>
  <c r="K203" i="13"/>
  <c r="O202" i="13"/>
  <c r="N202" i="13"/>
  <c r="M202" i="13"/>
  <c r="L202" i="13"/>
  <c r="K202" i="13"/>
  <c r="O201" i="13"/>
  <c r="N201" i="13"/>
  <c r="M201" i="13"/>
  <c r="L201" i="13"/>
  <c r="K201" i="13"/>
  <c r="O200" i="13"/>
  <c r="N200" i="13"/>
  <c r="M200" i="13"/>
  <c r="L200" i="13"/>
  <c r="K200" i="13"/>
  <c r="O199" i="13"/>
  <c r="N199" i="13"/>
  <c r="M199" i="13"/>
  <c r="L199" i="13"/>
  <c r="K199" i="13"/>
  <c r="O198" i="13"/>
  <c r="N198" i="13"/>
  <c r="M198" i="13"/>
  <c r="L198" i="13"/>
  <c r="K198" i="13"/>
  <c r="O197" i="13"/>
  <c r="N197" i="13"/>
  <c r="M197" i="13"/>
  <c r="L197" i="13"/>
  <c r="K197" i="13"/>
  <c r="O196" i="13"/>
  <c r="N196" i="13"/>
  <c r="M196" i="13"/>
  <c r="L196" i="13"/>
  <c r="K196" i="13"/>
  <c r="O195" i="13"/>
  <c r="N195" i="13"/>
  <c r="M195" i="13"/>
  <c r="L195" i="13"/>
  <c r="K195" i="13"/>
  <c r="O194" i="13"/>
  <c r="N194" i="13"/>
  <c r="M194" i="13"/>
  <c r="L194" i="13"/>
  <c r="K194" i="13"/>
  <c r="O193" i="13"/>
  <c r="N193" i="13"/>
  <c r="M193" i="13"/>
  <c r="L193" i="13"/>
  <c r="K193" i="13"/>
  <c r="O192" i="13"/>
  <c r="N192" i="13"/>
  <c r="M192" i="13"/>
  <c r="L192" i="13"/>
  <c r="K192" i="13"/>
  <c r="O191" i="13"/>
  <c r="N191" i="13"/>
  <c r="M191" i="13"/>
  <c r="L191" i="13"/>
  <c r="K191" i="13"/>
  <c r="O190" i="13"/>
  <c r="N190" i="13"/>
  <c r="M190" i="13"/>
  <c r="L190" i="13"/>
  <c r="K190" i="13"/>
  <c r="O189" i="13"/>
  <c r="N189" i="13"/>
  <c r="M189" i="13"/>
  <c r="L189" i="13"/>
  <c r="K189" i="13"/>
  <c r="O188" i="13"/>
  <c r="N188" i="13"/>
  <c r="M188" i="13"/>
  <c r="L188" i="13"/>
  <c r="K188" i="13"/>
  <c r="O187" i="13"/>
  <c r="N187" i="13"/>
  <c r="M187" i="13"/>
  <c r="L187" i="13"/>
  <c r="K187" i="13"/>
  <c r="O186" i="13"/>
  <c r="N186" i="13"/>
  <c r="M186" i="13"/>
  <c r="L186" i="13"/>
  <c r="K186" i="13"/>
  <c r="O185" i="13"/>
  <c r="N185" i="13"/>
  <c r="M185" i="13"/>
  <c r="L185" i="13"/>
  <c r="K185" i="13"/>
  <c r="O184" i="13"/>
  <c r="N184" i="13"/>
  <c r="M184" i="13"/>
  <c r="L184" i="13"/>
  <c r="K184" i="13"/>
  <c r="O183" i="13"/>
  <c r="N183" i="13"/>
  <c r="M183" i="13"/>
  <c r="L183" i="13"/>
  <c r="K183" i="13"/>
  <c r="O182" i="13"/>
  <c r="N182" i="13"/>
  <c r="M182" i="13"/>
  <c r="L182" i="13"/>
  <c r="K182" i="13"/>
  <c r="O181" i="13"/>
  <c r="N181" i="13"/>
  <c r="M181" i="13"/>
  <c r="L181" i="13"/>
  <c r="K181" i="13"/>
  <c r="O180" i="13"/>
  <c r="N180" i="13"/>
  <c r="M180" i="13"/>
  <c r="L180" i="13"/>
  <c r="K180" i="13"/>
  <c r="O179" i="13"/>
  <c r="N179" i="13"/>
  <c r="M179" i="13"/>
  <c r="L179" i="13"/>
  <c r="K179" i="13"/>
  <c r="O178" i="13"/>
  <c r="N178" i="13"/>
  <c r="M178" i="13"/>
  <c r="L178" i="13"/>
  <c r="K178" i="13"/>
  <c r="O177" i="13"/>
  <c r="N177" i="13"/>
  <c r="M177" i="13"/>
  <c r="L177" i="13"/>
  <c r="K177" i="13"/>
  <c r="O176" i="13"/>
  <c r="N176" i="13"/>
  <c r="M176" i="13"/>
  <c r="L176" i="13"/>
  <c r="K176" i="13"/>
  <c r="O175" i="13"/>
  <c r="N175" i="13"/>
  <c r="M175" i="13"/>
  <c r="L175" i="13"/>
  <c r="K175" i="13"/>
  <c r="O174" i="13"/>
  <c r="N174" i="13"/>
  <c r="M174" i="13"/>
  <c r="L174" i="13"/>
  <c r="K174" i="13"/>
  <c r="O173" i="13"/>
  <c r="N173" i="13"/>
  <c r="M173" i="13"/>
  <c r="L173" i="13"/>
  <c r="K173" i="13"/>
  <c r="O172" i="13"/>
  <c r="N172" i="13"/>
  <c r="M172" i="13"/>
  <c r="L172" i="13"/>
  <c r="K172" i="13"/>
  <c r="O171" i="13"/>
  <c r="N171" i="13"/>
  <c r="M171" i="13"/>
  <c r="L171" i="13"/>
  <c r="K171" i="13"/>
  <c r="O170" i="13"/>
  <c r="N170" i="13"/>
  <c r="M170" i="13"/>
  <c r="L170" i="13"/>
  <c r="K170" i="13"/>
  <c r="O169" i="13"/>
  <c r="N169" i="13"/>
  <c r="M169" i="13"/>
  <c r="L169" i="13"/>
  <c r="K169" i="13"/>
  <c r="O168" i="13"/>
  <c r="N168" i="13"/>
  <c r="M168" i="13"/>
  <c r="L168" i="13"/>
  <c r="K168" i="13"/>
  <c r="O167" i="13"/>
  <c r="N167" i="13"/>
  <c r="M167" i="13"/>
  <c r="L167" i="13"/>
  <c r="K167" i="13"/>
  <c r="O166" i="13"/>
  <c r="N166" i="13"/>
  <c r="M166" i="13"/>
  <c r="L166" i="13"/>
  <c r="K166" i="13"/>
  <c r="O165" i="13"/>
  <c r="N165" i="13"/>
  <c r="M165" i="13"/>
  <c r="L165" i="13"/>
  <c r="K165" i="13"/>
  <c r="O164" i="13"/>
  <c r="N164" i="13"/>
  <c r="M164" i="13"/>
  <c r="L164" i="13"/>
  <c r="K164" i="13"/>
  <c r="O163" i="13"/>
  <c r="N163" i="13"/>
  <c r="M163" i="13"/>
  <c r="L163" i="13"/>
  <c r="K163" i="13"/>
  <c r="O162" i="13"/>
  <c r="N162" i="13"/>
  <c r="M162" i="13"/>
  <c r="L162" i="13"/>
  <c r="K162" i="13"/>
  <c r="O161" i="13"/>
  <c r="N161" i="13"/>
  <c r="M161" i="13"/>
  <c r="L161" i="13"/>
  <c r="K161" i="13"/>
  <c r="O160" i="13"/>
  <c r="N160" i="13"/>
  <c r="M160" i="13"/>
  <c r="L160" i="13"/>
  <c r="K160" i="13"/>
  <c r="O159" i="13"/>
  <c r="N159" i="13"/>
  <c r="M159" i="13"/>
  <c r="L159" i="13"/>
  <c r="K159" i="13"/>
  <c r="O158" i="13"/>
  <c r="N158" i="13"/>
  <c r="M158" i="13"/>
  <c r="L158" i="13"/>
  <c r="K158" i="13"/>
  <c r="O157" i="13"/>
  <c r="N157" i="13"/>
  <c r="M157" i="13"/>
  <c r="L157" i="13"/>
  <c r="K157" i="13"/>
  <c r="O156" i="13"/>
  <c r="N156" i="13"/>
  <c r="M156" i="13"/>
  <c r="L156" i="13"/>
  <c r="K156" i="13"/>
  <c r="O155" i="13"/>
  <c r="N155" i="13"/>
  <c r="M155" i="13"/>
  <c r="L155" i="13"/>
  <c r="K155" i="13"/>
  <c r="O154" i="13"/>
  <c r="N154" i="13"/>
  <c r="M154" i="13"/>
  <c r="L154" i="13"/>
  <c r="K154" i="13"/>
  <c r="O153" i="13"/>
  <c r="N153" i="13"/>
  <c r="M153" i="13"/>
  <c r="L153" i="13"/>
  <c r="K153" i="13"/>
  <c r="O152" i="13"/>
  <c r="N152" i="13"/>
  <c r="M152" i="13"/>
  <c r="L152" i="13"/>
  <c r="K152" i="13"/>
  <c r="O151" i="13"/>
  <c r="N151" i="13"/>
  <c r="M151" i="13"/>
  <c r="L151" i="13"/>
  <c r="K151" i="13"/>
  <c r="O150" i="13"/>
  <c r="N150" i="13"/>
  <c r="M150" i="13"/>
  <c r="L150" i="13"/>
  <c r="K150" i="13"/>
  <c r="O149" i="13"/>
  <c r="N149" i="13"/>
  <c r="M149" i="13"/>
  <c r="L149" i="13"/>
  <c r="K149" i="13"/>
  <c r="O148" i="13"/>
  <c r="N148" i="13"/>
  <c r="M148" i="13"/>
  <c r="L148" i="13"/>
  <c r="K148" i="13"/>
  <c r="O147" i="13"/>
  <c r="N147" i="13"/>
  <c r="M147" i="13"/>
  <c r="L147" i="13"/>
  <c r="K147" i="13"/>
  <c r="O146" i="13"/>
  <c r="N146" i="13"/>
  <c r="M146" i="13"/>
  <c r="L146" i="13"/>
  <c r="K146" i="13"/>
  <c r="O145" i="13"/>
  <c r="N145" i="13"/>
  <c r="M145" i="13"/>
  <c r="L145" i="13"/>
  <c r="K145" i="13"/>
  <c r="O144" i="13"/>
  <c r="N144" i="13"/>
  <c r="M144" i="13"/>
  <c r="L144" i="13"/>
  <c r="K144" i="13"/>
  <c r="O143" i="13"/>
  <c r="N143" i="13"/>
  <c r="M143" i="13"/>
  <c r="L143" i="13"/>
  <c r="K143" i="13"/>
  <c r="O142" i="13"/>
  <c r="N142" i="13"/>
  <c r="M142" i="13"/>
  <c r="L142" i="13"/>
  <c r="K142" i="13"/>
  <c r="O141" i="13"/>
  <c r="N141" i="13"/>
  <c r="M141" i="13"/>
  <c r="L141" i="13"/>
  <c r="K141" i="13"/>
  <c r="O140" i="13"/>
  <c r="N140" i="13"/>
  <c r="M140" i="13"/>
  <c r="L140" i="13"/>
  <c r="K140" i="13"/>
  <c r="O139" i="13"/>
  <c r="N139" i="13"/>
  <c r="M139" i="13"/>
  <c r="L139" i="13"/>
  <c r="K139" i="13"/>
  <c r="O138" i="13"/>
  <c r="N138" i="13"/>
  <c r="M138" i="13"/>
  <c r="L138" i="13"/>
  <c r="K138" i="13"/>
  <c r="O137" i="13"/>
  <c r="N137" i="13"/>
  <c r="M137" i="13"/>
  <c r="L137" i="13"/>
  <c r="K137" i="13"/>
  <c r="O136" i="13"/>
  <c r="N136" i="13"/>
  <c r="M136" i="13"/>
  <c r="L136" i="13"/>
  <c r="K136" i="13"/>
  <c r="O135" i="13"/>
  <c r="N135" i="13"/>
  <c r="M135" i="13"/>
  <c r="L135" i="13"/>
  <c r="K135" i="13"/>
  <c r="O134" i="13"/>
  <c r="N134" i="13"/>
  <c r="M134" i="13"/>
  <c r="L134" i="13"/>
  <c r="K134" i="13"/>
  <c r="O133" i="13"/>
  <c r="N133" i="13"/>
  <c r="M133" i="13"/>
  <c r="L133" i="13"/>
  <c r="K133" i="13"/>
  <c r="O132" i="13"/>
  <c r="N132" i="13"/>
  <c r="M132" i="13"/>
  <c r="L132" i="13"/>
  <c r="K132" i="13"/>
  <c r="O131" i="13"/>
  <c r="N131" i="13"/>
  <c r="M131" i="13"/>
  <c r="L131" i="13"/>
  <c r="K131" i="13"/>
  <c r="O130" i="13"/>
  <c r="N130" i="13"/>
  <c r="M130" i="13"/>
  <c r="L130" i="13"/>
  <c r="K130" i="13"/>
  <c r="O129" i="13"/>
  <c r="N129" i="13"/>
  <c r="M129" i="13"/>
  <c r="L129" i="13"/>
  <c r="K129" i="13"/>
  <c r="O128" i="13"/>
  <c r="N128" i="13"/>
  <c r="M128" i="13"/>
  <c r="L128" i="13"/>
  <c r="K128" i="13"/>
  <c r="O127" i="13"/>
  <c r="N127" i="13"/>
  <c r="M127" i="13"/>
  <c r="L127" i="13"/>
  <c r="K127" i="13"/>
  <c r="O126" i="13"/>
  <c r="N126" i="13"/>
  <c r="M126" i="13"/>
  <c r="L126" i="13"/>
  <c r="K126" i="13"/>
  <c r="O125" i="13"/>
  <c r="N125" i="13"/>
  <c r="M125" i="13"/>
  <c r="L125" i="13"/>
  <c r="K125" i="13"/>
  <c r="O124" i="13"/>
  <c r="N124" i="13"/>
  <c r="M124" i="13"/>
  <c r="L124" i="13"/>
  <c r="K124" i="13"/>
  <c r="O123" i="13"/>
  <c r="N123" i="13"/>
  <c r="M123" i="13"/>
  <c r="L123" i="13"/>
  <c r="K123" i="13"/>
  <c r="O122" i="13"/>
  <c r="N122" i="13"/>
  <c r="M122" i="13"/>
  <c r="L122" i="13"/>
  <c r="K122" i="13"/>
  <c r="O121" i="13"/>
  <c r="N121" i="13"/>
  <c r="M121" i="13"/>
  <c r="L121" i="13"/>
  <c r="K121" i="13"/>
  <c r="O120" i="13"/>
  <c r="N120" i="13"/>
  <c r="M120" i="13"/>
  <c r="L120" i="13"/>
  <c r="K120" i="13"/>
  <c r="O119" i="13"/>
  <c r="N119" i="13"/>
  <c r="M119" i="13"/>
  <c r="L119" i="13"/>
  <c r="K119" i="13"/>
  <c r="O118" i="13"/>
  <c r="N118" i="13"/>
  <c r="M118" i="13"/>
  <c r="L118" i="13"/>
  <c r="K118" i="13"/>
  <c r="O117" i="13"/>
  <c r="N117" i="13"/>
  <c r="M117" i="13"/>
  <c r="L117" i="13"/>
  <c r="K117" i="13"/>
  <c r="O116" i="13"/>
  <c r="N116" i="13"/>
  <c r="M116" i="13"/>
  <c r="L116" i="13"/>
  <c r="K116" i="13"/>
  <c r="O115" i="13"/>
  <c r="N115" i="13"/>
  <c r="M115" i="13"/>
  <c r="L115" i="13"/>
  <c r="K115" i="13"/>
  <c r="O114" i="13"/>
  <c r="N114" i="13"/>
  <c r="M114" i="13"/>
  <c r="L114" i="13"/>
  <c r="K114" i="13"/>
  <c r="O113" i="13"/>
  <c r="N113" i="13"/>
  <c r="M113" i="13"/>
  <c r="L113" i="13"/>
  <c r="K113" i="13"/>
  <c r="O112" i="13"/>
  <c r="N112" i="13"/>
  <c r="M112" i="13"/>
  <c r="L112" i="13"/>
  <c r="K112" i="13"/>
  <c r="O111" i="13"/>
  <c r="N111" i="13"/>
  <c r="M111" i="13"/>
  <c r="L111" i="13"/>
  <c r="K111" i="13"/>
  <c r="O110" i="13"/>
  <c r="N110" i="13"/>
  <c r="M110" i="13"/>
  <c r="L110" i="13"/>
  <c r="K110" i="13"/>
  <c r="O109" i="13"/>
  <c r="N109" i="13"/>
  <c r="M109" i="13"/>
  <c r="L109" i="13"/>
  <c r="K109" i="13"/>
  <c r="O108" i="13"/>
  <c r="N108" i="13"/>
  <c r="M108" i="13"/>
  <c r="L108" i="13"/>
  <c r="K108" i="13"/>
  <c r="O107" i="13"/>
  <c r="N107" i="13"/>
  <c r="M107" i="13"/>
  <c r="L107" i="13"/>
  <c r="K107" i="13"/>
  <c r="O106" i="13"/>
  <c r="N106" i="13"/>
  <c r="M106" i="13"/>
  <c r="L106" i="13"/>
  <c r="K106" i="13"/>
  <c r="O105" i="13"/>
  <c r="N105" i="13"/>
  <c r="M105" i="13"/>
  <c r="L105" i="13"/>
  <c r="K105" i="13"/>
  <c r="O104" i="13"/>
  <c r="N104" i="13"/>
  <c r="M104" i="13"/>
  <c r="L104" i="13"/>
  <c r="K104" i="13"/>
  <c r="O103" i="13"/>
  <c r="N103" i="13"/>
  <c r="M103" i="13"/>
  <c r="L103" i="13"/>
  <c r="K103" i="13"/>
  <c r="O102" i="13"/>
  <c r="N102" i="13"/>
  <c r="M102" i="13"/>
  <c r="L102" i="13"/>
  <c r="K102" i="13"/>
  <c r="O101" i="13"/>
  <c r="N101" i="13"/>
  <c r="M101" i="13"/>
  <c r="L101" i="13"/>
  <c r="K101" i="13"/>
  <c r="O100" i="13"/>
  <c r="N100" i="13"/>
  <c r="M100" i="13"/>
  <c r="L100" i="13"/>
  <c r="K100" i="13"/>
  <c r="O99" i="13"/>
  <c r="N99" i="13"/>
  <c r="M99" i="13"/>
  <c r="L99" i="13"/>
  <c r="K99" i="13"/>
  <c r="O98" i="13"/>
  <c r="N98" i="13"/>
  <c r="M98" i="13"/>
  <c r="L98" i="13"/>
  <c r="K98" i="13"/>
  <c r="O97" i="13"/>
  <c r="N97" i="13"/>
  <c r="M97" i="13"/>
  <c r="L97" i="13"/>
  <c r="K97" i="13"/>
  <c r="O96" i="13"/>
  <c r="N96" i="13"/>
  <c r="M96" i="13"/>
  <c r="L96" i="13"/>
  <c r="K96" i="13"/>
  <c r="O95" i="13"/>
  <c r="N95" i="13"/>
  <c r="M95" i="13"/>
  <c r="L95" i="13"/>
  <c r="K95" i="13"/>
  <c r="O94" i="13"/>
  <c r="N94" i="13"/>
  <c r="M94" i="13"/>
  <c r="L94" i="13"/>
  <c r="K94" i="13"/>
  <c r="O93" i="13"/>
  <c r="N93" i="13"/>
  <c r="M93" i="13"/>
  <c r="L93" i="13"/>
  <c r="K93" i="13"/>
  <c r="O92" i="13"/>
  <c r="N92" i="13"/>
  <c r="M92" i="13"/>
  <c r="L92" i="13"/>
  <c r="K92" i="13"/>
  <c r="O91" i="13"/>
  <c r="N91" i="13"/>
  <c r="M91" i="13"/>
  <c r="L91" i="13"/>
  <c r="K91" i="13"/>
  <c r="O90" i="13"/>
  <c r="N90" i="13"/>
  <c r="M90" i="13"/>
  <c r="L90" i="13"/>
  <c r="K90" i="13"/>
  <c r="O89" i="13"/>
  <c r="N89" i="13"/>
  <c r="M89" i="13"/>
  <c r="L89" i="13"/>
  <c r="K89" i="13"/>
  <c r="O88" i="13"/>
  <c r="N88" i="13"/>
  <c r="M88" i="13"/>
  <c r="L88" i="13"/>
  <c r="K88" i="13"/>
  <c r="O87" i="13"/>
  <c r="N87" i="13"/>
  <c r="M87" i="13"/>
  <c r="L87" i="13"/>
  <c r="K87" i="13"/>
  <c r="O86" i="13"/>
  <c r="N86" i="13"/>
  <c r="M86" i="13"/>
  <c r="L86" i="13"/>
  <c r="K86" i="13"/>
  <c r="O85" i="13"/>
  <c r="N85" i="13"/>
  <c r="M85" i="13"/>
  <c r="L85" i="13"/>
  <c r="K85" i="13"/>
  <c r="O84" i="13"/>
  <c r="N84" i="13"/>
  <c r="M84" i="13"/>
  <c r="L84" i="13"/>
  <c r="K84" i="13"/>
  <c r="O83" i="13"/>
  <c r="N83" i="13"/>
  <c r="M83" i="13"/>
  <c r="L83" i="13"/>
  <c r="K83" i="13"/>
  <c r="O82" i="13"/>
  <c r="N82" i="13"/>
  <c r="M82" i="13"/>
  <c r="L82" i="13"/>
  <c r="K82" i="13"/>
  <c r="O81" i="13"/>
  <c r="N81" i="13"/>
  <c r="M81" i="13"/>
  <c r="L81" i="13"/>
  <c r="K81" i="13"/>
  <c r="O80" i="13"/>
  <c r="N80" i="13"/>
  <c r="M80" i="13"/>
  <c r="L80" i="13"/>
  <c r="K80" i="13"/>
  <c r="O79" i="13"/>
  <c r="N79" i="13"/>
  <c r="M79" i="13"/>
  <c r="L79" i="13"/>
  <c r="K79" i="13"/>
  <c r="O78" i="13"/>
  <c r="N78" i="13"/>
  <c r="M78" i="13"/>
  <c r="L78" i="13"/>
  <c r="K78" i="13"/>
  <c r="O77" i="13"/>
  <c r="N77" i="13"/>
  <c r="M77" i="13"/>
  <c r="L77" i="13"/>
  <c r="K77" i="13"/>
  <c r="O76" i="13"/>
  <c r="N76" i="13"/>
  <c r="M76" i="13"/>
  <c r="L76" i="13"/>
  <c r="K76" i="13"/>
  <c r="O75" i="13"/>
  <c r="N75" i="13"/>
  <c r="M75" i="13"/>
  <c r="L75" i="13"/>
  <c r="K75" i="13"/>
  <c r="O74" i="13"/>
  <c r="N74" i="13"/>
  <c r="M74" i="13"/>
  <c r="L74" i="13"/>
  <c r="K74" i="13"/>
  <c r="O73" i="13"/>
  <c r="N73" i="13"/>
  <c r="M73" i="13"/>
  <c r="L73" i="13"/>
  <c r="K73" i="13"/>
  <c r="O72" i="13"/>
  <c r="N72" i="13"/>
  <c r="M72" i="13"/>
  <c r="L72" i="13"/>
  <c r="K72" i="13"/>
  <c r="O71" i="13"/>
  <c r="N71" i="13"/>
  <c r="M71" i="13"/>
  <c r="L71" i="13"/>
  <c r="K71" i="13"/>
  <c r="O70" i="13"/>
  <c r="N70" i="13"/>
  <c r="M70" i="13"/>
  <c r="L70" i="13"/>
  <c r="K70" i="13"/>
  <c r="O69" i="13"/>
  <c r="N69" i="13"/>
  <c r="M69" i="13"/>
  <c r="L69" i="13"/>
  <c r="K69" i="13"/>
  <c r="O68" i="13"/>
  <c r="N68" i="13"/>
  <c r="M68" i="13"/>
  <c r="L68" i="13"/>
  <c r="K68" i="13"/>
  <c r="O67" i="13"/>
  <c r="N67" i="13"/>
  <c r="M67" i="13"/>
  <c r="L67" i="13"/>
  <c r="K67" i="13"/>
  <c r="O66" i="13"/>
  <c r="N66" i="13"/>
  <c r="M66" i="13"/>
  <c r="L66" i="13"/>
  <c r="K66" i="13"/>
  <c r="O65" i="13"/>
  <c r="N65" i="13"/>
  <c r="M65" i="13"/>
  <c r="L65" i="13"/>
  <c r="K65" i="13"/>
  <c r="O64" i="13"/>
  <c r="N64" i="13"/>
  <c r="M64" i="13"/>
  <c r="L64" i="13"/>
  <c r="K64" i="13"/>
  <c r="O63" i="13"/>
  <c r="N63" i="13"/>
  <c r="M63" i="13"/>
  <c r="L63" i="13"/>
  <c r="K63" i="13"/>
  <c r="O62" i="13"/>
  <c r="N62" i="13"/>
  <c r="M62" i="13"/>
  <c r="L62" i="13"/>
  <c r="K62" i="13"/>
  <c r="O61" i="13"/>
  <c r="N61" i="13"/>
  <c r="M61" i="13"/>
  <c r="L61" i="13"/>
  <c r="K61" i="13"/>
  <c r="O60" i="13"/>
  <c r="N60" i="13"/>
  <c r="M60" i="13"/>
  <c r="L60" i="13"/>
  <c r="K60" i="13"/>
  <c r="O59" i="13"/>
  <c r="N59" i="13"/>
  <c r="M59" i="13"/>
  <c r="L59" i="13"/>
  <c r="K59" i="13"/>
  <c r="O58" i="13"/>
  <c r="N58" i="13"/>
  <c r="M58" i="13"/>
  <c r="L58" i="13"/>
  <c r="K58" i="13"/>
  <c r="O57" i="13"/>
  <c r="N57" i="13"/>
  <c r="M57" i="13"/>
  <c r="L57" i="13"/>
  <c r="K57" i="13"/>
  <c r="O56" i="13"/>
  <c r="N56" i="13"/>
  <c r="M56" i="13"/>
  <c r="L56" i="13"/>
  <c r="K56" i="13"/>
  <c r="O55" i="13"/>
  <c r="N55" i="13"/>
  <c r="M55" i="13"/>
  <c r="L55" i="13"/>
  <c r="K55" i="13"/>
  <c r="O54" i="13"/>
  <c r="N54" i="13"/>
  <c r="M54" i="13"/>
  <c r="L54" i="13"/>
  <c r="K54" i="13"/>
  <c r="O53" i="13"/>
  <c r="N53" i="13"/>
  <c r="M53" i="13"/>
  <c r="L53" i="13"/>
  <c r="K53" i="13"/>
  <c r="O52" i="13"/>
  <c r="N52" i="13"/>
  <c r="M52" i="13"/>
  <c r="L52" i="13"/>
  <c r="K52" i="13"/>
  <c r="O51" i="13"/>
  <c r="N51" i="13"/>
  <c r="M51" i="13"/>
  <c r="L51" i="13"/>
  <c r="K51" i="13"/>
  <c r="O50" i="13"/>
  <c r="N50" i="13"/>
  <c r="M50" i="13"/>
  <c r="L50" i="13"/>
  <c r="K50" i="13"/>
  <c r="O49" i="13"/>
  <c r="N49" i="13"/>
  <c r="M49" i="13"/>
  <c r="L49" i="13"/>
  <c r="K49" i="13"/>
  <c r="O48" i="13"/>
  <c r="N48" i="13"/>
  <c r="M48" i="13"/>
  <c r="L48" i="13"/>
  <c r="K48" i="13"/>
  <c r="O47" i="13"/>
  <c r="N47" i="13"/>
  <c r="M47" i="13"/>
  <c r="L47" i="13"/>
  <c r="K47" i="13"/>
  <c r="O46" i="13"/>
  <c r="N46" i="13"/>
  <c r="M46" i="13"/>
  <c r="L46" i="13"/>
  <c r="K46" i="13"/>
  <c r="O45" i="13"/>
  <c r="N45" i="13"/>
  <c r="M45" i="13"/>
  <c r="L45" i="13"/>
  <c r="K45" i="13"/>
  <c r="O44" i="13"/>
  <c r="N44" i="13"/>
  <c r="M44" i="13"/>
  <c r="L44" i="13"/>
  <c r="K44" i="13"/>
  <c r="O43" i="13"/>
  <c r="N43" i="13"/>
  <c r="M43" i="13"/>
  <c r="L43" i="13"/>
  <c r="K43" i="13"/>
  <c r="O42" i="13"/>
  <c r="N42" i="13"/>
  <c r="M42" i="13"/>
  <c r="L42" i="13"/>
  <c r="K42" i="13"/>
  <c r="O41" i="13"/>
  <c r="N41" i="13"/>
  <c r="M41" i="13"/>
  <c r="L41" i="13"/>
  <c r="K41" i="13"/>
  <c r="O40" i="13"/>
  <c r="N40" i="13"/>
  <c r="M40" i="13"/>
  <c r="L40" i="13"/>
  <c r="K40" i="13"/>
  <c r="O39" i="13"/>
  <c r="N39" i="13"/>
  <c r="M39" i="13"/>
  <c r="L39" i="13"/>
  <c r="K39" i="13"/>
  <c r="O38" i="13"/>
  <c r="N38" i="13"/>
  <c r="M38" i="13"/>
  <c r="L38" i="13"/>
  <c r="K38" i="13"/>
  <c r="O37" i="13"/>
  <c r="N37" i="13"/>
  <c r="M37" i="13"/>
  <c r="L37" i="13"/>
  <c r="K37" i="13"/>
  <c r="O36" i="13"/>
  <c r="N36" i="13"/>
  <c r="M36" i="13"/>
  <c r="L36" i="13"/>
  <c r="K36" i="13"/>
  <c r="O35" i="13"/>
  <c r="N35" i="13"/>
  <c r="M35" i="13"/>
  <c r="L35" i="13"/>
  <c r="K35" i="13"/>
  <c r="O34" i="13"/>
  <c r="N34" i="13"/>
  <c r="M34" i="13"/>
  <c r="L34" i="13"/>
  <c r="K34" i="13"/>
  <c r="O33" i="13"/>
  <c r="N33" i="13"/>
  <c r="M33" i="13"/>
  <c r="L33" i="13"/>
  <c r="K33" i="13"/>
  <c r="O32" i="13"/>
  <c r="N32" i="13"/>
  <c r="M32" i="13"/>
  <c r="L32" i="13"/>
  <c r="K32" i="13"/>
  <c r="O31" i="13"/>
  <c r="N31" i="13"/>
  <c r="M31" i="13"/>
  <c r="L31" i="13"/>
  <c r="K31" i="13"/>
  <c r="O30" i="13"/>
  <c r="N30" i="13"/>
  <c r="M30" i="13"/>
  <c r="L30" i="13"/>
  <c r="K30" i="13"/>
  <c r="O29" i="13"/>
  <c r="N29" i="13"/>
  <c r="M29" i="13"/>
  <c r="L29" i="13"/>
  <c r="K29" i="13"/>
  <c r="O28" i="13"/>
  <c r="N28" i="13"/>
  <c r="M28" i="13"/>
  <c r="L28" i="13"/>
  <c r="K28" i="13"/>
  <c r="O27" i="13"/>
  <c r="N27" i="13"/>
  <c r="M27" i="13"/>
  <c r="L27" i="13"/>
  <c r="K27" i="13"/>
  <c r="O26" i="13"/>
  <c r="N26" i="13"/>
  <c r="M26" i="13"/>
  <c r="L26" i="13"/>
  <c r="K26" i="13"/>
  <c r="O25" i="13"/>
  <c r="N25" i="13"/>
  <c r="M25" i="13"/>
  <c r="L25" i="13"/>
  <c r="K25" i="13"/>
  <c r="O24" i="13"/>
  <c r="N24" i="13"/>
  <c r="M24" i="13"/>
  <c r="L24" i="13"/>
  <c r="K24" i="13"/>
  <c r="O23" i="13"/>
  <c r="N23" i="13"/>
  <c r="M23" i="13"/>
  <c r="L23" i="13"/>
  <c r="K23" i="13"/>
  <c r="O22" i="13"/>
  <c r="N22" i="13"/>
  <c r="M22" i="13"/>
  <c r="L22" i="13"/>
  <c r="K22" i="13"/>
  <c r="O21" i="13"/>
  <c r="N21" i="13"/>
  <c r="M21" i="13"/>
  <c r="L21" i="13"/>
  <c r="K21" i="13"/>
  <c r="O20" i="13"/>
  <c r="N20" i="13"/>
  <c r="M20" i="13"/>
  <c r="L20" i="13"/>
  <c r="K20" i="13"/>
  <c r="O19" i="13"/>
  <c r="N19" i="13"/>
  <c r="M19" i="13"/>
  <c r="L19" i="13"/>
  <c r="K19" i="13"/>
  <c r="O18" i="13"/>
  <c r="N18" i="13"/>
  <c r="M18" i="13"/>
  <c r="L18" i="13"/>
  <c r="K18" i="13"/>
  <c r="O17" i="13"/>
  <c r="N17" i="13"/>
  <c r="M17" i="13"/>
  <c r="L17" i="13"/>
  <c r="K17" i="13"/>
  <c r="O16" i="13"/>
  <c r="N16" i="13"/>
  <c r="M16" i="13"/>
  <c r="L16" i="13"/>
  <c r="K16" i="13"/>
  <c r="O15" i="13"/>
  <c r="N15" i="13"/>
  <c r="M15" i="13"/>
  <c r="L15" i="13"/>
  <c r="K15" i="13"/>
  <c r="O14" i="13"/>
  <c r="N14" i="13"/>
  <c r="M14" i="13"/>
  <c r="L14" i="13"/>
  <c r="K14" i="13"/>
  <c r="O13" i="13"/>
  <c r="N13" i="13"/>
  <c r="M13" i="13"/>
  <c r="L13" i="13"/>
  <c r="K13" i="13"/>
  <c r="O12" i="13"/>
  <c r="N12" i="13"/>
  <c r="M12" i="13"/>
  <c r="L12" i="13"/>
  <c r="K12" i="13"/>
  <c r="O11" i="13"/>
  <c r="N11" i="13"/>
  <c r="M11" i="13"/>
  <c r="L11" i="13"/>
  <c r="K11" i="13"/>
  <c r="O10" i="13"/>
  <c r="N10" i="13"/>
  <c r="M10" i="13"/>
  <c r="L10" i="13"/>
  <c r="K10" i="13"/>
  <c r="O9" i="13"/>
  <c r="N9" i="13"/>
  <c r="M9" i="13"/>
  <c r="L9" i="13"/>
  <c r="K9" i="13"/>
  <c r="O8" i="13"/>
  <c r="N8" i="13"/>
  <c r="M8" i="13"/>
  <c r="L8" i="13"/>
  <c r="K8" i="13"/>
  <c r="O7" i="13"/>
  <c r="N7" i="13"/>
  <c r="M7" i="13"/>
  <c r="L7" i="13"/>
  <c r="K7" i="13"/>
  <c r="O6" i="13"/>
  <c r="N6" i="13"/>
  <c r="M6" i="13"/>
  <c r="L6" i="13"/>
  <c r="K6" i="13"/>
  <c r="O5" i="13"/>
  <c r="N5" i="13"/>
  <c r="M5" i="13"/>
  <c r="L5" i="13"/>
  <c r="K5" i="13"/>
  <c r="O4" i="13"/>
  <c r="N4" i="13"/>
  <c r="M4" i="13"/>
  <c r="L4" i="13"/>
  <c r="K4" i="13"/>
  <c r="HE2" i="13"/>
  <c r="HA2" i="13"/>
  <c r="GW2" i="13"/>
  <c r="GV2" i="13"/>
  <c r="GT2" i="13"/>
  <c r="GS2" i="13"/>
  <c r="GH2" i="13"/>
  <c r="FR2" i="13"/>
  <c r="FB2" i="13"/>
  <c r="EL2" i="13"/>
  <c r="DV2" i="13"/>
  <c r="DF2" i="13"/>
  <c r="CP2" i="13"/>
  <c r="BZ2" i="13"/>
  <c r="BJ2" i="13"/>
  <c r="BH2" i="13"/>
  <c r="AZ2" i="13"/>
  <c r="AR2" i="13"/>
  <c r="AP2" i="13"/>
  <c r="AJ2" i="13"/>
  <c r="AD2" i="13"/>
  <c r="AB2" i="13"/>
  <c r="T2" i="13"/>
  <c r="HH221" i="12"/>
  <c r="HH2" i="12" s="1"/>
  <c r="HG221" i="12"/>
  <c r="HF221" i="12"/>
  <c r="HF2" i="12" s="1"/>
  <c r="HE221" i="12"/>
  <c r="HE2" i="12" s="1"/>
  <c r="HD221" i="12"/>
  <c r="HD2" i="12" s="1"/>
  <c r="HC221" i="12"/>
  <c r="HB221" i="12"/>
  <c r="HB2" i="12" s="1"/>
  <c r="HA221" i="12"/>
  <c r="HA2" i="12" s="1"/>
  <c r="GZ221" i="12"/>
  <c r="GZ2" i="12" s="1"/>
  <c r="GY221" i="12"/>
  <c r="GX221" i="12"/>
  <c r="GX2" i="12" s="1"/>
  <c r="GW221" i="12"/>
  <c r="GV221" i="12"/>
  <c r="GV2" i="12" s="1"/>
  <c r="GU221" i="12"/>
  <c r="GT221" i="12"/>
  <c r="GT2" i="12" s="1"/>
  <c r="GS221" i="12"/>
  <c r="GS2" i="12" s="1"/>
  <c r="GR221" i="12"/>
  <c r="GQ221" i="12"/>
  <c r="GP221" i="12"/>
  <c r="GP2" i="12" s="1"/>
  <c r="GO221" i="12"/>
  <c r="GO2" i="12" s="1"/>
  <c r="GN221" i="12"/>
  <c r="GN2" i="12" s="1"/>
  <c r="GM221" i="12"/>
  <c r="GL221" i="12"/>
  <c r="GL2" i="12" s="1"/>
  <c r="GK221" i="12"/>
  <c r="GK2" i="12" s="1"/>
  <c r="GJ221" i="12"/>
  <c r="GJ2" i="12" s="1"/>
  <c r="GI221" i="12"/>
  <c r="GH221" i="12"/>
  <c r="GH2" i="12" s="1"/>
  <c r="GG221" i="12"/>
  <c r="GF221" i="12"/>
  <c r="GF2" i="12" s="1"/>
  <c r="GE221" i="12"/>
  <c r="GD221" i="12"/>
  <c r="GD2" i="12" s="1"/>
  <c r="GC221" i="12"/>
  <c r="GC2" i="12" s="1"/>
  <c r="GB221" i="12"/>
  <c r="GB2" i="12" s="1"/>
  <c r="GA221" i="12"/>
  <c r="FZ221" i="12"/>
  <c r="FZ2" i="12" s="1"/>
  <c r="FY221" i="12"/>
  <c r="FY2" i="12" s="1"/>
  <c r="FX221" i="12"/>
  <c r="FX2" i="12" s="1"/>
  <c r="FW221" i="12"/>
  <c r="FV221" i="12"/>
  <c r="FV2" i="12" s="1"/>
  <c r="FU221" i="12"/>
  <c r="FU2" i="12" s="1"/>
  <c r="FT221" i="12"/>
  <c r="FT2" i="12" s="1"/>
  <c r="FS221" i="12"/>
  <c r="FR221" i="12"/>
  <c r="FR2" i="12" s="1"/>
  <c r="FQ221" i="12"/>
  <c r="FP221" i="12"/>
  <c r="FP2" i="12" s="1"/>
  <c r="FO221" i="12"/>
  <c r="FN221" i="12"/>
  <c r="FN2" i="12" s="1"/>
  <c r="FM221" i="12"/>
  <c r="FM2" i="12" s="1"/>
  <c r="FL221" i="12"/>
  <c r="FL2" i="12" s="1"/>
  <c r="FK221" i="12"/>
  <c r="FK2" i="12" s="1"/>
  <c r="FJ221" i="12"/>
  <c r="FJ2" i="12" s="1"/>
  <c r="FI221" i="12"/>
  <c r="FI2" i="12" s="1"/>
  <c r="FH221" i="12"/>
  <c r="FH2" i="12" s="1"/>
  <c r="FG221" i="12"/>
  <c r="FF221" i="12"/>
  <c r="FF2" i="12" s="1"/>
  <c r="FE221" i="12"/>
  <c r="FE2" i="12" s="1"/>
  <c r="FD221" i="12"/>
  <c r="FD2" i="12" s="1"/>
  <c r="FC221" i="12"/>
  <c r="FB221" i="12"/>
  <c r="FB2" i="12" s="1"/>
  <c r="FA221" i="12"/>
  <c r="EZ221" i="12"/>
  <c r="EZ2" i="12" s="1"/>
  <c r="EY221" i="12"/>
  <c r="EX221" i="12"/>
  <c r="EX2" i="12" s="1"/>
  <c r="EW221" i="12"/>
  <c r="EW2" i="12" s="1"/>
  <c r="EV221" i="12"/>
  <c r="EV2" i="12" s="1"/>
  <c r="EU221" i="12"/>
  <c r="ET221" i="12"/>
  <c r="ET2" i="12" s="1"/>
  <c r="ES221" i="12"/>
  <c r="ES2" i="12" s="1"/>
  <c r="ER221" i="12"/>
  <c r="ER2" i="12" s="1"/>
  <c r="EQ221" i="12"/>
  <c r="EP221" i="12"/>
  <c r="EP2" i="12" s="1"/>
  <c r="EO221" i="12"/>
  <c r="EO2" i="12" s="1"/>
  <c r="EN221" i="12"/>
  <c r="EN2" i="12" s="1"/>
  <c r="EM221" i="12"/>
  <c r="EL221" i="12"/>
  <c r="EL2" i="12" s="1"/>
  <c r="EK221" i="12"/>
  <c r="EJ221" i="12"/>
  <c r="EJ2" i="12" s="1"/>
  <c r="EI221" i="12"/>
  <c r="EH221" i="12"/>
  <c r="EH2" i="12" s="1"/>
  <c r="EG221" i="12"/>
  <c r="EG2" i="12" s="1"/>
  <c r="EF221" i="12"/>
  <c r="EE221" i="12"/>
  <c r="ED221" i="12"/>
  <c r="ED2" i="12" s="1"/>
  <c r="EC221" i="12"/>
  <c r="EC2" i="12" s="1"/>
  <c r="EB221" i="12"/>
  <c r="EB2" i="12" s="1"/>
  <c r="EA221" i="12"/>
  <c r="DZ221" i="12"/>
  <c r="DZ2" i="12" s="1"/>
  <c r="DY221" i="12"/>
  <c r="DY2" i="12" s="1"/>
  <c r="DX221" i="12"/>
  <c r="DX2" i="12" s="1"/>
  <c r="DW221" i="12"/>
  <c r="DV221" i="12"/>
  <c r="DV2" i="12" s="1"/>
  <c r="DU221" i="12"/>
  <c r="DT221" i="12"/>
  <c r="DT2" i="12" s="1"/>
  <c r="DS221" i="12"/>
  <c r="DR221" i="12"/>
  <c r="DR2" i="12" s="1"/>
  <c r="DQ221" i="12"/>
  <c r="DQ2" i="12" s="1"/>
  <c r="DP221" i="12"/>
  <c r="DP2" i="12" s="1"/>
  <c r="DO221" i="12"/>
  <c r="DN221" i="12"/>
  <c r="DN2" i="12" s="1"/>
  <c r="DM221" i="12"/>
  <c r="DM2" i="12" s="1"/>
  <c r="DL221" i="12"/>
  <c r="DL2" i="12" s="1"/>
  <c r="DK221" i="12"/>
  <c r="DJ221" i="12"/>
  <c r="DJ2" i="12" s="1"/>
  <c r="DI221" i="12"/>
  <c r="DI2" i="12" s="1"/>
  <c r="DH221" i="12"/>
  <c r="DH2" i="12" s="1"/>
  <c r="DG221" i="12"/>
  <c r="DF221" i="12"/>
  <c r="DF2" i="12" s="1"/>
  <c r="DE221" i="12"/>
  <c r="DD221" i="12"/>
  <c r="DD2" i="12" s="1"/>
  <c r="DC221" i="12"/>
  <c r="DB221" i="12"/>
  <c r="DB2" i="12" s="1"/>
  <c r="DA221" i="12"/>
  <c r="DA2" i="12" s="1"/>
  <c r="CZ221" i="12"/>
  <c r="CZ2" i="12" s="1"/>
  <c r="CY221" i="12"/>
  <c r="CX221" i="12"/>
  <c r="CX2" i="12" s="1"/>
  <c r="CW221" i="12"/>
  <c r="CW2" i="12" s="1"/>
  <c r="CV221" i="12"/>
  <c r="CV2" i="12" s="1"/>
  <c r="CU221" i="12"/>
  <c r="CT221" i="12"/>
  <c r="CT2" i="12" s="1"/>
  <c r="CS221" i="12"/>
  <c r="CS2" i="12" s="1"/>
  <c r="CR221" i="12"/>
  <c r="CR2" i="12" s="1"/>
  <c r="CQ221" i="12"/>
  <c r="CP221" i="12"/>
  <c r="CP2" i="12" s="1"/>
  <c r="CO221" i="12"/>
  <c r="CN221" i="12"/>
  <c r="CN2" i="12" s="1"/>
  <c r="CM221" i="12"/>
  <c r="CL221" i="12"/>
  <c r="CL2" i="12" s="1"/>
  <c r="CK221" i="12"/>
  <c r="CK2" i="12" s="1"/>
  <c r="CJ221" i="12"/>
  <c r="CJ2" i="12" s="1"/>
  <c r="CI221" i="12"/>
  <c r="CH221" i="12"/>
  <c r="CH2" i="12" s="1"/>
  <c r="CG221" i="12"/>
  <c r="CG2" i="12" s="1"/>
  <c r="CF221" i="12"/>
  <c r="CF2" i="12" s="1"/>
  <c r="CE221" i="12"/>
  <c r="CD221" i="12"/>
  <c r="CD2" i="12" s="1"/>
  <c r="CC221" i="12"/>
  <c r="CC2" i="12" s="1"/>
  <c r="CB221" i="12"/>
  <c r="CB2" i="12" s="1"/>
  <c r="CA221" i="12"/>
  <c r="BZ221" i="12"/>
  <c r="BZ2" i="12" s="1"/>
  <c r="BY221" i="12"/>
  <c r="BX221" i="12"/>
  <c r="BX2" i="12" s="1"/>
  <c r="BW221" i="12"/>
  <c r="BV221" i="12"/>
  <c r="BV2" i="12" s="1"/>
  <c r="BU221" i="12"/>
  <c r="BU2" i="12" s="1"/>
  <c r="BT221" i="12"/>
  <c r="BT2" i="12" s="1"/>
  <c r="BS221" i="12"/>
  <c r="BR221" i="12"/>
  <c r="BR2" i="12" s="1"/>
  <c r="BQ221" i="12"/>
  <c r="BQ2" i="12" s="1"/>
  <c r="BP221" i="12"/>
  <c r="BP2" i="12" s="1"/>
  <c r="BO221" i="12"/>
  <c r="BN221" i="12"/>
  <c r="BN2" i="12" s="1"/>
  <c r="BM221" i="12"/>
  <c r="BM2" i="12" s="1"/>
  <c r="BL221" i="12"/>
  <c r="BL2" i="12" s="1"/>
  <c r="BK221" i="12"/>
  <c r="BJ221" i="12"/>
  <c r="BJ2" i="12" s="1"/>
  <c r="BI221" i="12"/>
  <c r="BH221" i="12"/>
  <c r="BH2" i="12" s="1"/>
  <c r="BG221" i="12"/>
  <c r="BF221" i="12"/>
  <c r="BF2" i="12" s="1"/>
  <c r="BE221" i="12"/>
  <c r="BE2" i="12" s="1"/>
  <c r="BD221" i="12"/>
  <c r="BD2" i="12" s="1"/>
  <c r="BC221" i="12"/>
  <c r="BB221" i="12"/>
  <c r="BB2" i="12" s="1"/>
  <c r="BA221" i="12"/>
  <c r="BA2" i="12" s="1"/>
  <c r="AZ221" i="12"/>
  <c r="AZ2" i="12" s="1"/>
  <c r="AY221" i="12"/>
  <c r="AX221" i="12"/>
  <c r="AX2" i="12" s="1"/>
  <c r="AW221" i="12"/>
  <c r="AW2" i="12" s="1"/>
  <c r="AV221" i="12"/>
  <c r="AV2" i="12" s="1"/>
  <c r="AU221" i="12"/>
  <c r="AT221" i="12"/>
  <c r="AT2" i="12" s="1"/>
  <c r="AS221" i="12"/>
  <c r="AR221" i="12"/>
  <c r="AR2" i="12" s="1"/>
  <c r="AQ221" i="12"/>
  <c r="AP221" i="12"/>
  <c r="AP2" i="12" s="1"/>
  <c r="AO221" i="12"/>
  <c r="AO2" i="12" s="1"/>
  <c r="AN221" i="12"/>
  <c r="AN2" i="12" s="1"/>
  <c r="AM221" i="12"/>
  <c r="AL221" i="12"/>
  <c r="AL2" i="12" s="1"/>
  <c r="AK221" i="12"/>
  <c r="AK2" i="12" s="1"/>
  <c r="AJ221" i="12"/>
  <c r="AJ2" i="12" s="1"/>
  <c r="AI221" i="12"/>
  <c r="AH221" i="12"/>
  <c r="AH2" i="12" s="1"/>
  <c r="AG221" i="12"/>
  <c r="AG2" i="12" s="1"/>
  <c r="AF221" i="12"/>
  <c r="AF2" i="12" s="1"/>
  <c r="AE221" i="12"/>
  <c r="AD221" i="12"/>
  <c r="AD2" i="12" s="1"/>
  <c r="AC221" i="12"/>
  <c r="AB221" i="12"/>
  <c r="AB2" i="12" s="1"/>
  <c r="AA221" i="12"/>
  <c r="Z221" i="12"/>
  <c r="Z2" i="12" s="1"/>
  <c r="Y221" i="12"/>
  <c r="Y2" i="12" s="1"/>
  <c r="X221" i="12"/>
  <c r="X2" i="12" s="1"/>
  <c r="W221" i="12"/>
  <c r="W2" i="12" s="1"/>
  <c r="V221" i="12"/>
  <c r="V2" i="12" s="1"/>
  <c r="U221" i="12"/>
  <c r="U2" i="12" s="1"/>
  <c r="T221" i="12"/>
  <c r="T2" i="12" s="1"/>
  <c r="S221" i="12"/>
  <c r="R221" i="12"/>
  <c r="R2" i="12" s="1"/>
  <c r="Q221" i="12"/>
  <c r="Q2" i="12" s="1"/>
  <c r="J221" i="12"/>
  <c r="J2" i="12" s="1"/>
  <c r="I221" i="12"/>
  <c r="I2" i="12" s="1"/>
  <c r="H221" i="12"/>
  <c r="H2" i="12" s="1"/>
  <c r="G221" i="12"/>
  <c r="F221" i="12"/>
  <c r="F2" i="12" s="1"/>
  <c r="E221" i="12"/>
  <c r="O220" i="12"/>
  <c r="N220" i="12"/>
  <c r="M220" i="12"/>
  <c r="L220" i="12"/>
  <c r="K220" i="12"/>
  <c r="O219" i="12"/>
  <c r="N219" i="12"/>
  <c r="M219" i="12"/>
  <c r="L219" i="12"/>
  <c r="K219" i="12"/>
  <c r="O218" i="12"/>
  <c r="N218" i="12"/>
  <c r="M218" i="12"/>
  <c r="L218" i="12"/>
  <c r="K218" i="12"/>
  <c r="O217" i="12"/>
  <c r="N217" i="12"/>
  <c r="M217" i="12"/>
  <c r="L217" i="12"/>
  <c r="K217" i="12"/>
  <c r="O216" i="12"/>
  <c r="N216" i="12"/>
  <c r="M216" i="12"/>
  <c r="L216" i="12"/>
  <c r="K216" i="12"/>
  <c r="O215" i="12"/>
  <c r="N215" i="12"/>
  <c r="M215" i="12"/>
  <c r="L215" i="12"/>
  <c r="K215" i="12"/>
  <c r="O214" i="12"/>
  <c r="N214" i="12"/>
  <c r="M214" i="12"/>
  <c r="L214" i="12"/>
  <c r="K214" i="12"/>
  <c r="O213" i="12"/>
  <c r="N213" i="12"/>
  <c r="M213" i="12"/>
  <c r="L213" i="12"/>
  <c r="K213" i="12"/>
  <c r="O212" i="12"/>
  <c r="N212" i="12"/>
  <c r="M212" i="12"/>
  <c r="L212" i="12"/>
  <c r="K212" i="12"/>
  <c r="O211" i="12"/>
  <c r="N211" i="12"/>
  <c r="M211" i="12"/>
  <c r="L211" i="12"/>
  <c r="K211" i="12"/>
  <c r="O210" i="12"/>
  <c r="N210" i="12"/>
  <c r="M210" i="12"/>
  <c r="L210" i="12"/>
  <c r="K210" i="12"/>
  <c r="O209" i="12"/>
  <c r="N209" i="12"/>
  <c r="M209" i="12"/>
  <c r="L209" i="12"/>
  <c r="K209" i="12"/>
  <c r="O208" i="12"/>
  <c r="N208" i="12"/>
  <c r="M208" i="12"/>
  <c r="L208" i="12"/>
  <c r="K208" i="12"/>
  <c r="O207" i="12"/>
  <c r="N207" i="12"/>
  <c r="M207" i="12"/>
  <c r="L207" i="12"/>
  <c r="K207" i="12"/>
  <c r="O206" i="12"/>
  <c r="N206" i="12"/>
  <c r="M206" i="12"/>
  <c r="L206" i="12"/>
  <c r="K206" i="12"/>
  <c r="O205" i="12"/>
  <c r="N205" i="12"/>
  <c r="M205" i="12"/>
  <c r="L205" i="12"/>
  <c r="K205" i="12"/>
  <c r="O204" i="12"/>
  <c r="N204" i="12"/>
  <c r="M204" i="12"/>
  <c r="L204" i="12"/>
  <c r="K204" i="12"/>
  <c r="O203" i="12"/>
  <c r="N203" i="12"/>
  <c r="M203" i="12"/>
  <c r="L203" i="12"/>
  <c r="K203" i="12"/>
  <c r="O202" i="12"/>
  <c r="N202" i="12"/>
  <c r="M202" i="12"/>
  <c r="L202" i="12"/>
  <c r="K202" i="12"/>
  <c r="O201" i="12"/>
  <c r="N201" i="12"/>
  <c r="M201" i="12"/>
  <c r="L201" i="12"/>
  <c r="K201" i="12"/>
  <c r="O200" i="12"/>
  <c r="N200" i="12"/>
  <c r="M200" i="12"/>
  <c r="L200" i="12"/>
  <c r="K200" i="12"/>
  <c r="O199" i="12"/>
  <c r="N199" i="12"/>
  <c r="M199" i="12"/>
  <c r="L199" i="12"/>
  <c r="K199" i="12"/>
  <c r="O198" i="12"/>
  <c r="N198" i="12"/>
  <c r="M198" i="12"/>
  <c r="L198" i="12"/>
  <c r="K198" i="12"/>
  <c r="O197" i="12"/>
  <c r="N197" i="12"/>
  <c r="M197" i="12"/>
  <c r="L197" i="12"/>
  <c r="K197" i="12"/>
  <c r="O196" i="12"/>
  <c r="N196" i="12"/>
  <c r="M196" i="12"/>
  <c r="L196" i="12"/>
  <c r="K196" i="12"/>
  <c r="O195" i="12"/>
  <c r="N195" i="12"/>
  <c r="M195" i="12"/>
  <c r="L195" i="12"/>
  <c r="K195" i="12"/>
  <c r="O194" i="12"/>
  <c r="N194" i="12"/>
  <c r="M194" i="12"/>
  <c r="L194" i="12"/>
  <c r="K194" i="12"/>
  <c r="O193" i="12"/>
  <c r="N193" i="12"/>
  <c r="M193" i="12"/>
  <c r="L193" i="12"/>
  <c r="K193" i="12"/>
  <c r="O192" i="12"/>
  <c r="N192" i="12"/>
  <c r="M192" i="12"/>
  <c r="L192" i="12"/>
  <c r="K192" i="12"/>
  <c r="O191" i="12"/>
  <c r="N191" i="12"/>
  <c r="M191" i="12"/>
  <c r="L191" i="12"/>
  <c r="K191" i="12"/>
  <c r="O190" i="12"/>
  <c r="N190" i="12"/>
  <c r="M190" i="12"/>
  <c r="L190" i="12"/>
  <c r="K190" i="12"/>
  <c r="O189" i="12"/>
  <c r="N189" i="12"/>
  <c r="M189" i="12"/>
  <c r="L189" i="12"/>
  <c r="K189" i="12"/>
  <c r="O188" i="12"/>
  <c r="N188" i="12"/>
  <c r="M188" i="12"/>
  <c r="L188" i="12"/>
  <c r="K188" i="12"/>
  <c r="O187" i="12"/>
  <c r="N187" i="12"/>
  <c r="M187" i="12"/>
  <c r="L187" i="12"/>
  <c r="K187" i="12"/>
  <c r="O186" i="12"/>
  <c r="N186" i="12"/>
  <c r="M186" i="12"/>
  <c r="L186" i="12"/>
  <c r="K186" i="12"/>
  <c r="O185" i="12"/>
  <c r="N185" i="12"/>
  <c r="M185" i="12"/>
  <c r="L185" i="12"/>
  <c r="K185" i="12"/>
  <c r="O184" i="12"/>
  <c r="N184" i="12"/>
  <c r="M184" i="12"/>
  <c r="L184" i="12"/>
  <c r="K184" i="12"/>
  <c r="O183" i="12"/>
  <c r="N183" i="12"/>
  <c r="M183" i="12"/>
  <c r="L183" i="12"/>
  <c r="K183" i="12"/>
  <c r="O182" i="12"/>
  <c r="N182" i="12"/>
  <c r="M182" i="12"/>
  <c r="L182" i="12"/>
  <c r="K182" i="12"/>
  <c r="O181" i="12"/>
  <c r="N181" i="12"/>
  <c r="M181" i="12"/>
  <c r="L181" i="12"/>
  <c r="K181" i="12"/>
  <c r="O180" i="12"/>
  <c r="N180" i="12"/>
  <c r="M180" i="12"/>
  <c r="L180" i="12"/>
  <c r="K180" i="12"/>
  <c r="O179" i="12"/>
  <c r="N179" i="12"/>
  <c r="M179" i="12"/>
  <c r="L179" i="12"/>
  <c r="K179" i="12"/>
  <c r="O178" i="12"/>
  <c r="N178" i="12"/>
  <c r="M178" i="12"/>
  <c r="L178" i="12"/>
  <c r="K178" i="12"/>
  <c r="O177" i="12"/>
  <c r="N177" i="12"/>
  <c r="M177" i="12"/>
  <c r="L177" i="12"/>
  <c r="K177" i="12"/>
  <c r="O176" i="12"/>
  <c r="N176" i="12"/>
  <c r="M176" i="12"/>
  <c r="L176" i="12"/>
  <c r="K176" i="12"/>
  <c r="O175" i="12"/>
  <c r="N175" i="12"/>
  <c r="M175" i="12"/>
  <c r="L175" i="12"/>
  <c r="K175" i="12"/>
  <c r="O174" i="12"/>
  <c r="N174" i="12"/>
  <c r="M174" i="12"/>
  <c r="L174" i="12"/>
  <c r="K174" i="12"/>
  <c r="O173" i="12"/>
  <c r="N173" i="12"/>
  <c r="M173" i="12"/>
  <c r="L173" i="12"/>
  <c r="K173" i="12"/>
  <c r="O172" i="12"/>
  <c r="N172" i="12"/>
  <c r="M172" i="12"/>
  <c r="L172" i="12"/>
  <c r="K172" i="12"/>
  <c r="O171" i="12"/>
  <c r="N171" i="12"/>
  <c r="M171" i="12"/>
  <c r="L171" i="12"/>
  <c r="K171" i="12"/>
  <c r="O170" i="12"/>
  <c r="N170" i="12"/>
  <c r="M170" i="12"/>
  <c r="L170" i="12"/>
  <c r="K170" i="12"/>
  <c r="O169" i="12"/>
  <c r="N169" i="12"/>
  <c r="M169" i="12"/>
  <c r="L169" i="12"/>
  <c r="K169" i="12"/>
  <c r="O168" i="12"/>
  <c r="N168" i="12"/>
  <c r="M168" i="12"/>
  <c r="L168" i="12"/>
  <c r="K168" i="12"/>
  <c r="O167" i="12"/>
  <c r="N167" i="12"/>
  <c r="M167" i="12"/>
  <c r="L167" i="12"/>
  <c r="K167" i="12"/>
  <c r="O166" i="12"/>
  <c r="N166" i="12"/>
  <c r="M166" i="12"/>
  <c r="L166" i="12"/>
  <c r="K166" i="12"/>
  <c r="O165" i="12"/>
  <c r="N165" i="12"/>
  <c r="M165" i="12"/>
  <c r="L165" i="12"/>
  <c r="K165" i="12"/>
  <c r="O164" i="12"/>
  <c r="N164" i="12"/>
  <c r="M164" i="12"/>
  <c r="L164" i="12"/>
  <c r="K164" i="12"/>
  <c r="O163" i="12"/>
  <c r="N163" i="12"/>
  <c r="M163" i="12"/>
  <c r="L163" i="12"/>
  <c r="K163" i="12"/>
  <c r="O162" i="12"/>
  <c r="N162" i="12"/>
  <c r="M162" i="12"/>
  <c r="L162" i="12"/>
  <c r="K162" i="12"/>
  <c r="O161" i="12"/>
  <c r="N161" i="12"/>
  <c r="M161" i="12"/>
  <c r="L161" i="12"/>
  <c r="K161" i="12"/>
  <c r="O160" i="12"/>
  <c r="N160" i="12"/>
  <c r="M160" i="12"/>
  <c r="L160" i="12"/>
  <c r="K160" i="12"/>
  <c r="O159" i="12"/>
  <c r="N159" i="12"/>
  <c r="M159" i="12"/>
  <c r="L159" i="12"/>
  <c r="K159" i="12"/>
  <c r="O158" i="12"/>
  <c r="N158" i="12"/>
  <c r="M158" i="12"/>
  <c r="L158" i="12"/>
  <c r="K158" i="12"/>
  <c r="O157" i="12"/>
  <c r="N157" i="12"/>
  <c r="M157" i="12"/>
  <c r="L157" i="12"/>
  <c r="K157" i="12"/>
  <c r="O156" i="12"/>
  <c r="N156" i="12"/>
  <c r="M156" i="12"/>
  <c r="L156" i="12"/>
  <c r="K156" i="12"/>
  <c r="O155" i="12"/>
  <c r="N155" i="12"/>
  <c r="M155" i="12"/>
  <c r="L155" i="12"/>
  <c r="K155" i="12"/>
  <c r="O154" i="12"/>
  <c r="N154" i="12"/>
  <c r="M154" i="12"/>
  <c r="L154" i="12"/>
  <c r="K154" i="12"/>
  <c r="O153" i="12"/>
  <c r="N153" i="12"/>
  <c r="M153" i="12"/>
  <c r="L153" i="12"/>
  <c r="K153" i="12"/>
  <c r="O152" i="12"/>
  <c r="N152" i="12"/>
  <c r="M152" i="12"/>
  <c r="L152" i="12"/>
  <c r="K152" i="12"/>
  <c r="O151" i="12"/>
  <c r="N151" i="12"/>
  <c r="M151" i="12"/>
  <c r="L151" i="12"/>
  <c r="K151" i="12"/>
  <c r="O150" i="12"/>
  <c r="N150" i="12"/>
  <c r="M150" i="12"/>
  <c r="L150" i="12"/>
  <c r="K150" i="12"/>
  <c r="O149" i="12"/>
  <c r="N149" i="12"/>
  <c r="M149" i="12"/>
  <c r="L149" i="12"/>
  <c r="K149" i="12"/>
  <c r="O148" i="12"/>
  <c r="N148" i="12"/>
  <c r="M148" i="12"/>
  <c r="L148" i="12"/>
  <c r="K148" i="12"/>
  <c r="O147" i="12"/>
  <c r="N147" i="12"/>
  <c r="M147" i="12"/>
  <c r="L147" i="12"/>
  <c r="K147" i="12"/>
  <c r="O146" i="12"/>
  <c r="N146" i="12"/>
  <c r="M146" i="12"/>
  <c r="L146" i="12"/>
  <c r="K146" i="12"/>
  <c r="O145" i="12"/>
  <c r="N145" i="12"/>
  <c r="M145" i="12"/>
  <c r="L145" i="12"/>
  <c r="K145" i="12"/>
  <c r="O144" i="12"/>
  <c r="N144" i="12"/>
  <c r="M144" i="12"/>
  <c r="L144" i="12"/>
  <c r="K144" i="12"/>
  <c r="O143" i="12"/>
  <c r="N143" i="12"/>
  <c r="M143" i="12"/>
  <c r="L143" i="12"/>
  <c r="K143" i="12"/>
  <c r="O142" i="12"/>
  <c r="N142" i="12"/>
  <c r="M142" i="12"/>
  <c r="L142" i="12"/>
  <c r="K142" i="12"/>
  <c r="O141" i="12"/>
  <c r="N141" i="12"/>
  <c r="M141" i="12"/>
  <c r="L141" i="12"/>
  <c r="K141" i="12"/>
  <c r="O140" i="12"/>
  <c r="N140" i="12"/>
  <c r="M140" i="12"/>
  <c r="L140" i="12"/>
  <c r="K140" i="12"/>
  <c r="O139" i="12"/>
  <c r="N139" i="12"/>
  <c r="M139" i="12"/>
  <c r="L139" i="12"/>
  <c r="K139" i="12"/>
  <c r="O138" i="12"/>
  <c r="N138" i="12"/>
  <c r="M138" i="12"/>
  <c r="L138" i="12"/>
  <c r="K138" i="12"/>
  <c r="O137" i="12"/>
  <c r="N137" i="12"/>
  <c r="M137" i="12"/>
  <c r="L137" i="12"/>
  <c r="K137" i="12"/>
  <c r="O136" i="12"/>
  <c r="N136" i="12"/>
  <c r="M136" i="12"/>
  <c r="L136" i="12"/>
  <c r="K136" i="12"/>
  <c r="O135" i="12"/>
  <c r="N135" i="12"/>
  <c r="M135" i="12"/>
  <c r="L135" i="12"/>
  <c r="K135" i="12"/>
  <c r="O134" i="12"/>
  <c r="N134" i="12"/>
  <c r="M134" i="12"/>
  <c r="L134" i="12"/>
  <c r="K134" i="12"/>
  <c r="O133" i="12"/>
  <c r="N133" i="12"/>
  <c r="M133" i="12"/>
  <c r="L133" i="12"/>
  <c r="K133" i="12"/>
  <c r="O132" i="12"/>
  <c r="N132" i="12"/>
  <c r="M132" i="12"/>
  <c r="L132" i="12"/>
  <c r="K132" i="12"/>
  <c r="O131" i="12"/>
  <c r="N131" i="12"/>
  <c r="M131" i="12"/>
  <c r="L131" i="12"/>
  <c r="K131" i="12"/>
  <c r="O130" i="12"/>
  <c r="N130" i="12"/>
  <c r="M130" i="12"/>
  <c r="L130" i="12"/>
  <c r="K130" i="12"/>
  <c r="O129" i="12"/>
  <c r="N129" i="12"/>
  <c r="M129" i="12"/>
  <c r="L129" i="12"/>
  <c r="K129" i="12"/>
  <c r="O128" i="12"/>
  <c r="N128" i="12"/>
  <c r="M128" i="12"/>
  <c r="L128" i="12"/>
  <c r="K128" i="12"/>
  <c r="O127" i="12"/>
  <c r="N127" i="12"/>
  <c r="M127" i="12"/>
  <c r="L127" i="12"/>
  <c r="K127" i="12"/>
  <c r="O126" i="12"/>
  <c r="N126" i="12"/>
  <c r="M126" i="12"/>
  <c r="L126" i="12"/>
  <c r="K126" i="12"/>
  <c r="O125" i="12"/>
  <c r="N125" i="12"/>
  <c r="M125" i="12"/>
  <c r="L125" i="12"/>
  <c r="K125" i="12"/>
  <c r="O124" i="12"/>
  <c r="N124" i="12"/>
  <c r="M124" i="12"/>
  <c r="L124" i="12"/>
  <c r="K124" i="12"/>
  <c r="O123" i="12"/>
  <c r="N123" i="12"/>
  <c r="M123" i="12"/>
  <c r="L123" i="12"/>
  <c r="K123" i="12"/>
  <c r="O122" i="12"/>
  <c r="N122" i="12"/>
  <c r="M122" i="12"/>
  <c r="L122" i="12"/>
  <c r="K122" i="12"/>
  <c r="O121" i="12"/>
  <c r="N121" i="12"/>
  <c r="M121" i="12"/>
  <c r="L121" i="12"/>
  <c r="K121" i="12"/>
  <c r="O120" i="12"/>
  <c r="N120" i="12"/>
  <c r="M120" i="12"/>
  <c r="L120" i="12"/>
  <c r="K120" i="12"/>
  <c r="O119" i="12"/>
  <c r="N119" i="12"/>
  <c r="M119" i="12"/>
  <c r="L119" i="12"/>
  <c r="K119" i="12"/>
  <c r="O118" i="12"/>
  <c r="N118" i="12"/>
  <c r="M118" i="12"/>
  <c r="L118" i="12"/>
  <c r="K118" i="12"/>
  <c r="O117" i="12"/>
  <c r="N117" i="12"/>
  <c r="M117" i="12"/>
  <c r="L117" i="12"/>
  <c r="K117" i="12"/>
  <c r="O116" i="12"/>
  <c r="N116" i="12"/>
  <c r="M116" i="12"/>
  <c r="L116" i="12"/>
  <c r="K116" i="12"/>
  <c r="O115" i="12"/>
  <c r="N115" i="12"/>
  <c r="M115" i="12"/>
  <c r="L115" i="12"/>
  <c r="K115" i="12"/>
  <c r="O114" i="12"/>
  <c r="N114" i="12"/>
  <c r="M114" i="12"/>
  <c r="L114" i="12"/>
  <c r="K114" i="12"/>
  <c r="O113" i="12"/>
  <c r="N113" i="12"/>
  <c r="M113" i="12"/>
  <c r="L113" i="12"/>
  <c r="K113" i="12"/>
  <c r="O112" i="12"/>
  <c r="N112" i="12"/>
  <c r="M112" i="12"/>
  <c r="L112" i="12"/>
  <c r="K112" i="12"/>
  <c r="O111" i="12"/>
  <c r="N111" i="12"/>
  <c r="M111" i="12"/>
  <c r="L111" i="12"/>
  <c r="K111" i="12"/>
  <c r="O110" i="12"/>
  <c r="N110" i="12"/>
  <c r="M110" i="12"/>
  <c r="L110" i="12"/>
  <c r="K110" i="12"/>
  <c r="O109" i="12"/>
  <c r="N109" i="12"/>
  <c r="M109" i="12"/>
  <c r="L109" i="12"/>
  <c r="K109" i="12"/>
  <c r="O108" i="12"/>
  <c r="N108" i="12"/>
  <c r="M108" i="12"/>
  <c r="L108" i="12"/>
  <c r="K108" i="12"/>
  <c r="O107" i="12"/>
  <c r="N107" i="12"/>
  <c r="M107" i="12"/>
  <c r="L107" i="12"/>
  <c r="K107" i="12"/>
  <c r="O106" i="12"/>
  <c r="N106" i="12"/>
  <c r="M106" i="12"/>
  <c r="L106" i="12"/>
  <c r="K106" i="12"/>
  <c r="O105" i="12"/>
  <c r="N105" i="12"/>
  <c r="M105" i="12"/>
  <c r="L105" i="12"/>
  <c r="K105" i="12"/>
  <c r="O104" i="12"/>
  <c r="N104" i="12"/>
  <c r="M104" i="12"/>
  <c r="L104" i="12"/>
  <c r="K104" i="12"/>
  <c r="O103" i="12"/>
  <c r="N103" i="12"/>
  <c r="M103" i="12"/>
  <c r="L103" i="12"/>
  <c r="K103" i="12"/>
  <c r="O102" i="12"/>
  <c r="N102" i="12"/>
  <c r="M102" i="12"/>
  <c r="L102" i="12"/>
  <c r="K102" i="12"/>
  <c r="O101" i="12"/>
  <c r="N101" i="12"/>
  <c r="M101" i="12"/>
  <c r="L101" i="12"/>
  <c r="K101" i="12"/>
  <c r="O100" i="12"/>
  <c r="N100" i="12"/>
  <c r="M100" i="12"/>
  <c r="L100" i="12"/>
  <c r="K100" i="12"/>
  <c r="O99" i="12"/>
  <c r="N99" i="12"/>
  <c r="M99" i="12"/>
  <c r="L99" i="12"/>
  <c r="K99" i="12"/>
  <c r="O98" i="12"/>
  <c r="N98" i="12"/>
  <c r="M98" i="12"/>
  <c r="L98" i="12"/>
  <c r="K98" i="12"/>
  <c r="O97" i="12"/>
  <c r="N97" i="12"/>
  <c r="M97" i="12"/>
  <c r="L97" i="12"/>
  <c r="K97" i="12"/>
  <c r="O96" i="12"/>
  <c r="N96" i="12"/>
  <c r="M96" i="12"/>
  <c r="L96" i="12"/>
  <c r="K96" i="12"/>
  <c r="O95" i="12"/>
  <c r="N95" i="12"/>
  <c r="M95" i="12"/>
  <c r="L95" i="12"/>
  <c r="K95" i="12"/>
  <c r="O94" i="12"/>
  <c r="N94" i="12"/>
  <c r="M94" i="12"/>
  <c r="L94" i="12"/>
  <c r="K94" i="12"/>
  <c r="O93" i="12"/>
  <c r="N93" i="12"/>
  <c r="M93" i="12"/>
  <c r="L93" i="12"/>
  <c r="K93" i="12"/>
  <c r="O92" i="12"/>
  <c r="N92" i="12"/>
  <c r="M92" i="12"/>
  <c r="L92" i="12"/>
  <c r="K92" i="12"/>
  <c r="O91" i="12"/>
  <c r="N91" i="12"/>
  <c r="M91" i="12"/>
  <c r="L91" i="12"/>
  <c r="K91" i="12"/>
  <c r="O90" i="12"/>
  <c r="N90" i="12"/>
  <c r="M90" i="12"/>
  <c r="L90" i="12"/>
  <c r="K90" i="12"/>
  <c r="O89" i="12"/>
  <c r="N89" i="12"/>
  <c r="M89" i="12"/>
  <c r="L89" i="12"/>
  <c r="K89" i="12"/>
  <c r="O88" i="12"/>
  <c r="N88" i="12"/>
  <c r="M88" i="12"/>
  <c r="L88" i="12"/>
  <c r="K88" i="12"/>
  <c r="O87" i="12"/>
  <c r="N87" i="12"/>
  <c r="M87" i="12"/>
  <c r="L87" i="12"/>
  <c r="K87" i="12"/>
  <c r="O86" i="12"/>
  <c r="N86" i="12"/>
  <c r="M86" i="12"/>
  <c r="L86" i="12"/>
  <c r="K86" i="12"/>
  <c r="O85" i="12"/>
  <c r="N85" i="12"/>
  <c r="M85" i="12"/>
  <c r="L85" i="12"/>
  <c r="K85" i="12"/>
  <c r="O84" i="12"/>
  <c r="N84" i="12"/>
  <c r="M84" i="12"/>
  <c r="L84" i="12"/>
  <c r="K84" i="12"/>
  <c r="O83" i="12"/>
  <c r="N83" i="12"/>
  <c r="M83" i="12"/>
  <c r="L83" i="12"/>
  <c r="K83" i="12"/>
  <c r="O82" i="12"/>
  <c r="N82" i="12"/>
  <c r="M82" i="12"/>
  <c r="L82" i="12"/>
  <c r="K82" i="12"/>
  <c r="O81" i="12"/>
  <c r="N81" i="12"/>
  <c r="M81" i="12"/>
  <c r="L81" i="12"/>
  <c r="K81" i="12"/>
  <c r="O80" i="12"/>
  <c r="N80" i="12"/>
  <c r="M80" i="12"/>
  <c r="L80" i="12"/>
  <c r="K80" i="12"/>
  <c r="O79" i="12"/>
  <c r="N79" i="12"/>
  <c r="M79" i="12"/>
  <c r="L79" i="12"/>
  <c r="K79" i="12"/>
  <c r="O78" i="12"/>
  <c r="N78" i="12"/>
  <c r="M78" i="12"/>
  <c r="L78" i="12"/>
  <c r="K78" i="12"/>
  <c r="O77" i="12"/>
  <c r="N77" i="12"/>
  <c r="M77" i="12"/>
  <c r="L77" i="12"/>
  <c r="K77" i="12"/>
  <c r="O76" i="12"/>
  <c r="N76" i="12"/>
  <c r="M76" i="12"/>
  <c r="L76" i="12"/>
  <c r="K76" i="12"/>
  <c r="O75" i="12"/>
  <c r="N75" i="12"/>
  <c r="M75" i="12"/>
  <c r="L75" i="12"/>
  <c r="K75" i="12"/>
  <c r="O74" i="12"/>
  <c r="N74" i="12"/>
  <c r="M74" i="12"/>
  <c r="L74" i="12"/>
  <c r="K74" i="12"/>
  <c r="O73" i="12"/>
  <c r="N73" i="12"/>
  <c r="M73" i="12"/>
  <c r="L73" i="12"/>
  <c r="K73" i="12"/>
  <c r="O72" i="12"/>
  <c r="N72" i="12"/>
  <c r="M72" i="12"/>
  <c r="L72" i="12"/>
  <c r="K72" i="12"/>
  <c r="O71" i="12"/>
  <c r="N71" i="12"/>
  <c r="M71" i="12"/>
  <c r="L71" i="12"/>
  <c r="K71" i="12"/>
  <c r="O70" i="12"/>
  <c r="N70" i="12"/>
  <c r="M70" i="12"/>
  <c r="L70" i="12"/>
  <c r="K70" i="12"/>
  <c r="O69" i="12"/>
  <c r="N69" i="12"/>
  <c r="M69" i="12"/>
  <c r="L69" i="12"/>
  <c r="K69" i="12"/>
  <c r="O68" i="12"/>
  <c r="N68" i="12"/>
  <c r="M68" i="12"/>
  <c r="L68" i="12"/>
  <c r="K68" i="12"/>
  <c r="O67" i="12"/>
  <c r="N67" i="12"/>
  <c r="M67" i="12"/>
  <c r="L67" i="12"/>
  <c r="K67" i="12"/>
  <c r="O66" i="12"/>
  <c r="N66" i="12"/>
  <c r="M66" i="12"/>
  <c r="L66" i="12"/>
  <c r="K66" i="12"/>
  <c r="O65" i="12"/>
  <c r="N65" i="12"/>
  <c r="M65" i="12"/>
  <c r="L65" i="12"/>
  <c r="K65" i="12"/>
  <c r="O64" i="12"/>
  <c r="N64" i="12"/>
  <c r="M64" i="12"/>
  <c r="L64" i="12"/>
  <c r="K64" i="12"/>
  <c r="O63" i="12"/>
  <c r="N63" i="12"/>
  <c r="M63" i="12"/>
  <c r="L63" i="12"/>
  <c r="K63" i="12"/>
  <c r="O62" i="12"/>
  <c r="N62" i="12"/>
  <c r="M62" i="12"/>
  <c r="L62" i="12"/>
  <c r="K62" i="12"/>
  <c r="O61" i="12"/>
  <c r="N61" i="12"/>
  <c r="M61" i="12"/>
  <c r="L61" i="12"/>
  <c r="K61" i="12"/>
  <c r="O60" i="12"/>
  <c r="N60" i="12"/>
  <c r="M60" i="12"/>
  <c r="L60" i="12"/>
  <c r="K60" i="12"/>
  <c r="O59" i="12"/>
  <c r="N59" i="12"/>
  <c r="M59" i="12"/>
  <c r="L59" i="12"/>
  <c r="K59" i="12"/>
  <c r="O58" i="12"/>
  <c r="N58" i="12"/>
  <c r="M58" i="12"/>
  <c r="L58" i="12"/>
  <c r="K58" i="12"/>
  <c r="O57" i="12"/>
  <c r="N57" i="12"/>
  <c r="M57" i="12"/>
  <c r="L57" i="12"/>
  <c r="K57" i="12"/>
  <c r="O56" i="12"/>
  <c r="N56" i="12"/>
  <c r="M56" i="12"/>
  <c r="L56" i="12"/>
  <c r="K56" i="12"/>
  <c r="O55" i="12"/>
  <c r="N55" i="12"/>
  <c r="M55" i="12"/>
  <c r="L55" i="12"/>
  <c r="K55" i="12"/>
  <c r="O54" i="12"/>
  <c r="N54" i="12"/>
  <c r="M54" i="12"/>
  <c r="L54" i="12"/>
  <c r="K54" i="12"/>
  <c r="O53" i="12"/>
  <c r="N53" i="12"/>
  <c r="M53" i="12"/>
  <c r="L53" i="12"/>
  <c r="K53" i="12"/>
  <c r="O52" i="12"/>
  <c r="N52" i="12"/>
  <c r="M52" i="12"/>
  <c r="L52" i="12"/>
  <c r="K52" i="12"/>
  <c r="O51" i="12"/>
  <c r="N51" i="12"/>
  <c r="M51" i="12"/>
  <c r="L51" i="12"/>
  <c r="K51" i="12"/>
  <c r="O50" i="12"/>
  <c r="N50" i="12"/>
  <c r="M50" i="12"/>
  <c r="L50" i="12"/>
  <c r="K50" i="12"/>
  <c r="O49" i="12"/>
  <c r="N49" i="12"/>
  <c r="M49" i="12"/>
  <c r="L49" i="12"/>
  <c r="K49" i="12"/>
  <c r="O48" i="12"/>
  <c r="N48" i="12"/>
  <c r="M48" i="12"/>
  <c r="L48" i="12"/>
  <c r="K48" i="12"/>
  <c r="O47" i="12"/>
  <c r="N47" i="12"/>
  <c r="M47" i="12"/>
  <c r="L47" i="12"/>
  <c r="K47" i="12"/>
  <c r="O46" i="12"/>
  <c r="N46" i="12"/>
  <c r="M46" i="12"/>
  <c r="L46" i="12"/>
  <c r="K46" i="12"/>
  <c r="O45" i="12"/>
  <c r="N45" i="12"/>
  <c r="M45" i="12"/>
  <c r="L45" i="12"/>
  <c r="K45" i="12"/>
  <c r="O44" i="12"/>
  <c r="N44" i="12"/>
  <c r="M44" i="12"/>
  <c r="L44" i="12"/>
  <c r="K44" i="12"/>
  <c r="O43" i="12"/>
  <c r="N43" i="12"/>
  <c r="M43" i="12"/>
  <c r="L43" i="12"/>
  <c r="K43" i="12"/>
  <c r="O42" i="12"/>
  <c r="N42" i="12"/>
  <c r="M42" i="12"/>
  <c r="L42" i="12"/>
  <c r="K42" i="12"/>
  <c r="O41" i="12"/>
  <c r="N41" i="12"/>
  <c r="M41" i="12"/>
  <c r="L41" i="12"/>
  <c r="K41" i="12"/>
  <c r="O40" i="12"/>
  <c r="N40" i="12"/>
  <c r="M40" i="12"/>
  <c r="L40" i="12"/>
  <c r="K40" i="12"/>
  <c r="O39" i="12"/>
  <c r="N39" i="12"/>
  <c r="M39" i="12"/>
  <c r="L39" i="12"/>
  <c r="K39" i="12"/>
  <c r="O38" i="12"/>
  <c r="N38" i="12"/>
  <c r="M38" i="12"/>
  <c r="L38" i="12"/>
  <c r="K38" i="12"/>
  <c r="O37" i="12"/>
  <c r="N37" i="12"/>
  <c r="M37" i="12"/>
  <c r="L37" i="12"/>
  <c r="K37" i="12"/>
  <c r="O36" i="12"/>
  <c r="N36" i="12"/>
  <c r="M36" i="12"/>
  <c r="L36" i="12"/>
  <c r="K36" i="12"/>
  <c r="O35" i="12"/>
  <c r="N35" i="12"/>
  <c r="M35" i="12"/>
  <c r="L35" i="12"/>
  <c r="K35" i="12"/>
  <c r="O34" i="12"/>
  <c r="N34" i="12"/>
  <c r="M34" i="12"/>
  <c r="L34" i="12"/>
  <c r="K34" i="12"/>
  <c r="O33" i="12"/>
  <c r="N33" i="12"/>
  <c r="M33" i="12"/>
  <c r="L33" i="12"/>
  <c r="K33" i="12"/>
  <c r="O32" i="12"/>
  <c r="N32" i="12"/>
  <c r="M32" i="12"/>
  <c r="L32" i="12"/>
  <c r="K32" i="12"/>
  <c r="O31" i="12"/>
  <c r="N31" i="12"/>
  <c r="M31" i="12"/>
  <c r="L31" i="12"/>
  <c r="K31" i="12"/>
  <c r="O30" i="12"/>
  <c r="N30" i="12"/>
  <c r="M30" i="12"/>
  <c r="L30" i="12"/>
  <c r="K30" i="12"/>
  <c r="O29" i="12"/>
  <c r="N29" i="12"/>
  <c r="M29" i="12"/>
  <c r="L29" i="12"/>
  <c r="K29" i="12"/>
  <c r="O28" i="12"/>
  <c r="N28" i="12"/>
  <c r="M28" i="12"/>
  <c r="L28" i="12"/>
  <c r="K28" i="12"/>
  <c r="O27" i="12"/>
  <c r="N27" i="12"/>
  <c r="M27" i="12"/>
  <c r="L27" i="12"/>
  <c r="K27" i="12"/>
  <c r="O26" i="12"/>
  <c r="N26" i="12"/>
  <c r="M26" i="12"/>
  <c r="L26" i="12"/>
  <c r="K26" i="12"/>
  <c r="O25" i="12"/>
  <c r="N25" i="12"/>
  <c r="M25" i="12"/>
  <c r="L25" i="12"/>
  <c r="K25" i="12"/>
  <c r="O24" i="12"/>
  <c r="N24" i="12"/>
  <c r="M24" i="12"/>
  <c r="L24" i="12"/>
  <c r="K24" i="12"/>
  <c r="O23" i="12"/>
  <c r="N23" i="12"/>
  <c r="M23" i="12"/>
  <c r="L23" i="12"/>
  <c r="K23" i="12"/>
  <c r="O22" i="12"/>
  <c r="N22" i="12"/>
  <c r="M22" i="12"/>
  <c r="L22" i="12"/>
  <c r="K22" i="12"/>
  <c r="O21" i="12"/>
  <c r="N21" i="12"/>
  <c r="M21" i="12"/>
  <c r="L21" i="12"/>
  <c r="K21" i="12"/>
  <c r="O20" i="12"/>
  <c r="N20" i="12"/>
  <c r="M20" i="12"/>
  <c r="L20" i="12"/>
  <c r="K20" i="12"/>
  <c r="O19" i="12"/>
  <c r="N19" i="12"/>
  <c r="M19" i="12"/>
  <c r="L19" i="12"/>
  <c r="K19" i="12"/>
  <c r="O18" i="12"/>
  <c r="N18" i="12"/>
  <c r="M18" i="12"/>
  <c r="L18" i="12"/>
  <c r="K18" i="12"/>
  <c r="O17" i="12"/>
  <c r="N17" i="12"/>
  <c r="M17" i="12"/>
  <c r="L17" i="12"/>
  <c r="K17" i="12"/>
  <c r="O16" i="12"/>
  <c r="N16" i="12"/>
  <c r="M16" i="12"/>
  <c r="L16" i="12"/>
  <c r="K16" i="12"/>
  <c r="O15" i="12"/>
  <c r="N15" i="12"/>
  <c r="M15" i="12"/>
  <c r="L15" i="12"/>
  <c r="K15" i="12"/>
  <c r="O14" i="12"/>
  <c r="N14" i="12"/>
  <c r="M14" i="12"/>
  <c r="L14" i="12"/>
  <c r="K14" i="12"/>
  <c r="O13" i="12"/>
  <c r="N13" i="12"/>
  <c r="M13" i="12"/>
  <c r="L13" i="12"/>
  <c r="K13" i="12"/>
  <c r="O12" i="12"/>
  <c r="N12" i="12"/>
  <c r="M12" i="12"/>
  <c r="L12" i="12"/>
  <c r="K12" i="12"/>
  <c r="O11" i="12"/>
  <c r="N11" i="12"/>
  <c r="M11" i="12"/>
  <c r="L11" i="12"/>
  <c r="K11" i="12"/>
  <c r="O10" i="12"/>
  <c r="N10" i="12"/>
  <c r="M10" i="12"/>
  <c r="L10" i="12"/>
  <c r="K10" i="12"/>
  <c r="O9" i="12"/>
  <c r="N9" i="12"/>
  <c r="M9" i="12"/>
  <c r="L9" i="12"/>
  <c r="K9" i="12"/>
  <c r="O8" i="12"/>
  <c r="N8" i="12"/>
  <c r="M8" i="12"/>
  <c r="L8" i="12"/>
  <c r="K8" i="12"/>
  <c r="O7" i="12"/>
  <c r="N7" i="12"/>
  <c r="M7" i="12"/>
  <c r="L7" i="12"/>
  <c r="K7" i="12"/>
  <c r="O6" i="12"/>
  <c r="N6" i="12"/>
  <c r="M6" i="12"/>
  <c r="L6" i="12"/>
  <c r="K6" i="12"/>
  <c r="O5" i="12"/>
  <c r="N5" i="12"/>
  <c r="M5" i="12"/>
  <c r="L5" i="12"/>
  <c r="K5" i="12"/>
  <c r="O4" i="12"/>
  <c r="N4" i="12"/>
  <c r="M4" i="12"/>
  <c r="L4" i="12"/>
  <c r="K4" i="12"/>
  <c r="HG2" i="12"/>
  <c r="HC2" i="12"/>
  <c r="GY2" i="12"/>
  <c r="GW2" i="12"/>
  <c r="GU2" i="12"/>
  <c r="GR2" i="12"/>
  <c r="GQ2" i="12"/>
  <c r="GM2" i="12"/>
  <c r="GI2" i="12"/>
  <c r="GG2" i="12"/>
  <c r="GE2" i="12"/>
  <c r="GA2" i="12"/>
  <c r="FW2" i="12"/>
  <c r="FS2" i="12"/>
  <c r="FQ2" i="12"/>
  <c r="FO2" i="12"/>
  <c r="FG2" i="12"/>
  <c r="FC2" i="12"/>
  <c r="FA2" i="12"/>
  <c r="EY2" i="12"/>
  <c r="EU2" i="12"/>
  <c r="EQ2" i="12"/>
  <c r="EM2" i="12"/>
  <c r="EK2" i="12"/>
  <c r="EI2" i="12"/>
  <c r="EF2" i="12"/>
  <c r="EE2" i="12"/>
  <c r="EA2" i="12"/>
  <c r="DW2" i="12"/>
  <c r="DU2" i="12"/>
  <c r="DS2" i="12"/>
  <c r="DO2" i="12"/>
  <c r="DK2" i="12"/>
  <c r="DG2" i="12"/>
  <c r="DE2" i="12"/>
  <c r="DC2" i="12"/>
  <c r="CY2" i="12"/>
  <c r="CU2" i="12"/>
  <c r="CQ2" i="12"/>
  <c r="CO2" i="12"/>
  <c r="CM2" i="12"/>
  <c r="CI2" i="12"/>
  <c r="CE2" i="12"/>
  <c r="CA2" i="12"/>
  <c r="BY2" i="12"/>
  <c r="BW2" i="12"/>
  <c r="BS2" i="12"/>
  <c r="BO2" i="12"/>
  <c r="BK2" i="12"/>
  <c r="BI2" i="12"/>
  <c r="BG2" i="12"/>
  <c r="BC2" i="12"/>
  <c r="AY2" i="12"/>
  <c r="AU2" i="12"/>
  <c r="AS2" i="12"/>
  <c r="AQ2" i="12"/>
  <c r="AM2" i="12"/>
  <c r="AI2" i="12"/>
  <c r="AE2" i="12"/>
  <c r="AC2" i="12"/>
  <c r="AA2" i="12"/>
  <c r="S2" i="12"/>
  <c r="G2" i="12"/>
  <c r="E2" i="12"/>
  <c r="P6" i="12" l="1"/>
  <c r="P10" i="12"/>
  <c r="P22" i="12"/>
  <c r="P50" i="12"/>
  <c r="P54" i="12"/>
  <c r="P58" i="12"/>
  <c r="P86" i="12"/>
  <c r="P90" i="12"/>
  <c r="P94" i="12"/>
  <c r="P110" i="12"/>
  <c r="P114" i="12"/>
  <c r="P118" i="12"/>
  <c r="P122" i="12"/>
  <c r="P134" i="12"/>
  <c r="P170" i="12"/>
  <c r="P174" i="12"/>
  <c r="P182" i="12"/>
  <c r="P186" i="12"/>
  <c r="P190" i="12"/>
  <c r="P194" i="12"/>
  <c r="P198" i="12"/>
  <c r="P202" i="12"/>
  <c r="P210" i="12"/>
  <c r="P218" i="12"/>
  <c r="P6" i="13"/>
  <c r="P14" i="13"/>
  <c r="P18" i="13"/>
  <c r="P22" i="13"/>
  <c r="P26" i="13"/>
  <c r="P30" i="13"/>
  <c r="P34" i="13"/>
  <c r="P38" i="13"/>
  <c r="P42" i="13"/>
  <c r="P46" i="13"/>
  <c r="P50" i="13"/>
  <c r="P58" i="13"/>
  <c r="P62" i="13"/>
  <c r="P66" i="13"/>
  <c r="P70" i="13"/>
  <c r="P74" i="13"/>
  <c r="P78" i="13"/>
  <c r="P86" i="13"/>
  <c r="P90" i="13"/>
  <c r="P94" i="13"/>
  <c r="P102" i="13"/>
  <c r="P106" i="13"/>
  <c r="P114" i="13"/>
  <c r="P118" i="13"/>
  <c r="P122" i="13"/>
  <c r="P126" i="13"/>
  <c r="P130" i="13"/>
  <c r="P134" i="13"/>
  <c r="P142" i="13"/>
  <c r="P146" i="13"/>
  <c r="P162" i="13"/>
  <c r="P170" i="13"/>
  <c r="P174" i="13"/>
  <c r="P178" i="13"/>
  <c r="P182" i="13"/>
  <c r="P194" i="13"/>
  <c r="P198" i="13"/>
  <c r="P202" i="13"/>
  <c r="P210" i="13"/>
  <c r="P214" i="13"/>
  <c r="P14" i="12"/>
  <c r="P18" i="12"/>
  <c r="P30" i="12"/>
  <c r="P34" i="12"/>
  <c r="P38" i="12"/>
  <c r="P42" i="12"/>
  <c r="P46" i="12"/>
  <c r="P62" i="12"/>
  <c r="P66" i="12"/>
  <c r="P70" i="12"/>
  <c r="P74" i="12"/>
  <c r="P78" i="12"/>
  <c r="P82" i="12"/>
  <c r="P98" i="12"/>
  <c r="P102" i="12"/>
  <c r="P126" i="12"/>
  <c r="P130" i="12"/>
  <c r="P142" i="12"/>
  <c r="P146" i="12"/>
  <c r="P150" i="12"/>
  <c r="P154" i="12"/>
  <c r="P158" i="12"/>
  <c r="P166" i="12"/>
  <c r="P7" i="14"/>
  <c r="P15" i="14"/>
  <c r="P19" i="14"/>
  <c r="P23" i="14"/>
  <c r="P27" i="14"/>
  <c r="P43" i="14"/>
  <c r="P47" i="14"/>
  <c r="P51" i="14"/>
  <c r="P55" i="14"/>
  <c r="P59" i="14"/>
  <c r="P67" i="14"/>
  <c r="P71" i="14"/>
  <c r="P79" i="14"/>
  <c r="P83" i="14"/>
  <c r="P87" i="14"/>
  <c r="P103" i="14"/>
  <c r="P107" i="14"/>
  <c r="P111" i="14"/>
  <c r="P115" i="14"/>
  <c r="P119" i="14"/>
  <c r="P135" i="14"/>
  <c r="P139" i="14"/>
  <c r="P151" i="14"/>
  <c r="P155" i="14"/>
  <c r="P159" i="14"/>
  <c r="P163" i="14"/>
  <c r="P171" i="14"/>
  <c r="P175" i="14"/>
  <c r="P187" i="14"/>
  <c r="P191" i="14"/>
  <c r="P195" i="14"/>
  <c r="P207" i="14"/>
  <c r="P219" i="14"/>
  <c r="P106" i="12"/>
  <c r="P206" i="12"/>
  <c r="P214" i="12"/>
  <c r="P10" i="13"/>
  <c r="P98" i="13"/>
  <c r="P54" i="13"/>
  <c r="P154" i="13"/>
  <c r="P158" i="13"/>
  <c r="P166" i="13"/>
  <c r="P26" i="12"/>
  <c r="P162" i="12"/>
  <c r="P178" i="12"/>
  <c r="P110" i="13"/>
  <c r="P150" i="13"/>
  <c r="P138" i="12"/>
  <c r="P82" i="13"/>
  <c r="P138" i="13"/>
  <c r="P190" i="13"/>
  <c r="P206" i="13"/>
  <c r="P31" i="14"/>
  <c r="P63" i="14"/>
  <c r="P91" i="14"/>
  <c r="P123" i="14"/>
  <c r="P127" i="14"/>
  <c r="P143" i="14"/>
  <c r="P147" i="14"/>
  <c r="P167" i="14"/>
  <c r="P203" i="14"/>
  <c r="O221" i="16"/>
  <c r="O2" i="16" s="1"/>
  <c r="P4" i="12"/>
  <c r="P8" i="12"/>
  <c r="P12" i="12"/>
  <c r="P16" i="12"/>
  <c r="P20" i="12"/>
  <c r="P24" i="12"/>
  <c r="P28" i="12"/>
  <c r="P32" i="12"/>
  <c r="P36" i="12"/>
  <c r="P40" i="12"/>
  <c r="P44" i="12"/>
  <c r="P48" i="12"/>
  <c r="P52" i="12"/>
  <c r="P56" i="12"/>
  <c r="P60" i="12"/>
  <c r="P64" i="12"/>
  <c r="P68" i="12"/>
  <c r="P72" i="12"/>
  <c r="P76" i="12"/>
  <c r="P80" i="12"/>
  <c r="P84" i="12"/>
  <c r="P88" i="12"/>
  <c r="P92" i="12"/>
  <c r="P96" i="12"/>
  <c r="P100" i="12"/>
  <c r="P104" i="12"/>
  <c r="P108" i="12"/>
  <c r="P112" i="12"/>
  <c r="P116" i="12"/>
  <c r="P120" i="12"/>
  <c r="P124" i="12"/>
  <c r="P128" i="12"/>
  <c r="P132" i="12"/>
  <c r="P136" i="12"/>
  <c r="P140" i="12"/>
  <c r="P144" i="12"/>
  <c r="P148" i="12"/>
  <c r="P152" i="12"/>
  <c r="P156" i="12"/>
  <c r="P160" i="12"/>
  <c r="P164" i="12"/>
  <c r="P168" i="12"/>
  <c r="P172" i="12"/>
  <c r="P176" i="12"/>
  <c r="P180" i="12"/>
  <c r="P184" i="12"/>
  <c r="P188" i="12"/>
  <c r="P192" i="12"/>
  <c r="P196" i="12"/>
  <c r="P200" i="12"/>
  <c r="P204" i="12"/>
  <c r="P208" i="12"/>
  <c r="P212" i="12"/>
  <c r="P216" i="12"/>
  <c r="P220" i="12"/>
  <c r="P4" i="13"/>
  <c r="P8" i="13"/>
  <c r="P12" i="13"/>
  <c r="P16" i="13"/>
  <c r="P20" i="13"/>
  <c r="P24" i="13"/>
  <c r="P28" i="13"/>
  <c r="P32" i="13"/>
  <c r="P36" i="13"/>
  <c r="P40" i="13"/>
  <c r="P44" i="13"/>
  <c r="P48" i="13"/>
  <c r="P52" i="13"/>
  <c r="P56" i="13"/>
  <c r="P60" i="13"/>
  <c r="P64" i="13"/>
  <c r="P68" i="13"/>
  <c r="P72" i="13"/>
  <c r="P76" i="13"/>
  <c r="P80" i="13"/>
  <c r="P84" i="13"/>
  <c r="P88" i="13"/>
  <c r="P92" i="13"/>
  <c r="P96" i="13"/>
  <c r="P100" i="13"/>
  <c r="P104" i="13"/>
  <c r="P108" i="13"/>
  <c r="P112" i="13"/>
  <c r="P116" i="13"/>
  <c r="P120" i="13"/>
  <c r="P124" i="13"/>
  <c r="P128" i="13"/>
  <c r="P132" i="13"/>
  <c r="P136" i="13"/>
  <c r="P140" i="13"/>
  <c r="P144" i="13"/>
  <c r="P148" i="13"/>
  <c r="P152" i="13"/>
  <c r="P156" i="13"/>
  <c r="P160" i="13"/>
  <c r="P164" i="13"/>
  <c r="P168" i="13"/>
  <c r="P172" i="13"/>
  <c r="P176" i="13"/>
  <c r="P180" i="13"/>
  <c r="P184" i="13"/>
  <c r="P188" i="13"/>
  <c r="P192" i="13"/>
  <c r="P196" i="13"/>
  <c r="P200" i="13"/>
  <c r="P204" i="13"/>
  <c r="P208" i="13"/>
  <c r="P212" i="13"/>
  <c r="P216" i="13"/>
  <c r="P220" i="13"/>
  <c r="P5" i="14"/>
  <c r="P9" i="14"/>
  <c r="P13" i="14"/>
  <c r="P17" i="14"/>
  <c r="P21" i="14"/>
  <c r="P25" i="14"/>
  <c r="P29" i="14"/>
  <c r="P33" i="14"/>
  <c r="P37" i="14"/>
  <c r="P41" i="14"/>
  <c r="P45" i="14"/>
  <c r="P49" i="14"/>
  <c r="P53" i="14"/>
  <c r="P57" i="14"/>
  <c r="P61" i="14"/>
  <c r="P65" i="14"/>
  <c r="P69" i="14"/>
  <c r="P73" i="14"/>
  <c r="P77" i="14"/>
  <c r="P81" i="14"/>
  <c r="P85" i="14"/>
  <c r="P89" i="14"/>
  <c r="P93" i="14"/>
  <c r="P97" i="14"/>
  <c r="P101" i="14"/>
  <c r="P105" i="14"/>
  <c r="P109" i="14"/>
  <c r="P113" i="14"/>
  <c r="P117" i="14"/>
  <c r="P121" i="14"/>
  <c r="P125" i="14"/>
  <c r="P129" i="14"/>
  <c r="P133" i="14"/>
  <c r="P137" i="14"/>
  <c r="P141" i="14"/>
  <c r="P145" i="14"/>
  <c r="P149" i="14"/>
  <c r="P153" i="14"/>
  <c r="P157" i="14"/>
  <c r="P161" i="14"/>
  <c r="P165" i="14"/>
  <c r="P169" i="14"/>
  <c r="P173" i="14"/>
  <c r="P177" i="14"/>
  <c r="P181" i="14"/>
  <c r="P185" i="14"/>
  <c r="P189" i="14"/>
  <c r="P193" i="14"/>
  <c r="P197" i="14"/>
  <c r="P201" i="14"/>
  <c r="P205" i="14"/>
  <c r="P209" i="14"/>
  <c r="P213" i="14"/>
  <c r="P217" i="14"/>
  <c r="P75" i="14"/>
  <c r="P199" i="14"/>
  <c r="P211" i="14"/>
  <c r="P215" i="14"/>
  <c r="P7" i="12"/>
  <c r="P11" i="12"/>
  <c r="P15" i="12"/>
  <c r="P19" i="12"/>
  <c r="P23" i="12"/>
  <c r="P27" i="12"/>
  <c r="P31" i="12"/>
  <c r="P35" i="12"/>
  <c r="P39" i="12"/>
  <c r="P43" i="12"/>
  <c r="P47" i="12"/>
  <c r="P51" i="12"/>
  <c r="P55" i="12"/>
  <c r="P59" i="12"/>
  <c r="P63" i="12"/>
  <c r="P67" i="12"/>
  <c r="P71" i="12"/>
  <c r="P75" i="12"/>
  <c r="P79" i="12"/>
  <c r="P83" i="12"/>
  <c r="P87" i="12"/>
  <c r="P91" i="12"/>
  <c r="P95" i="12"/>
  <c r="P99" i="12"/>
  <c r="P103" i="12"/>
  <c r="P107" i="12"/>
  <c r="P111" i="12"/>
  <c r="P115" i="12"/>
  <c r="P119" i="12"/>
  <c r="P123" i="12"/>
  <c r="P127" i="12"/>
  <c r="P131" i="12"/>
  <c r="P135" i="12"/>
  <c r="P139" i="12"/>
  <c r="P143" i="12"/>
  <c r="P147" i="12"/>
  <c r="P151" i="12"/>
  <c r="P155" i="12"/>
  <c r="P159" i="12"/>
  <c r="P163" i="12"/>
  <c r="P167" i="12"/>
  <c r="P171" i="12"/>
  <c r="P175" i="12"/>
  <c r="P179" i="12"/>
  <c r="P183" i="12"/>
  <c r="P187" i="12"/>
  <c r="P191" i="12"/>
  <c r="P195" i="12"/>
  <c r="P199" i="12"/>
  <c r="P203" i="12"/>
  <c r="P207" i="12"/>
  <c r="P211" i="12"/>
  <c r="P215" i="12"/>
  <c r="P219" i="12"/>
  <c r="P7" i="13"/>
  <c r="P11" i="13"/>
  <c r="P15" i="13"/>
  <c r="P19" i="13"/>
  <c r="P23" i="13"/>
  <c r="P27" i="13"/>
  <c r="P31" i="13"/>
  <c r="P35" i="13"/>
  <c r="P39" i="13"/>
  <c r="P43" i="13"/>
  <c r="P47" i="13"/>
  <c r="P51" i="13"/>
  <c r="P55" i="13"/>
  <c r="P59" i="13"/>
  <c r="P63" i="13"/>
  <c r="P67" i="13"/>
  <c r="P71" i="13"/>
  <c r="P75" i="13"/>
  <c r="P79" i="13"/>
  <c r="P83" i="13"/>
  <c r="P87" i="13"/>
  <c r="P91" i="13"/>
  <c r="P95" i="13"/>
  <c r="P99" i="13"/>
  <c r="P103" i="13"/>
  <c r="P107" i="13"/>
  <c r="P111" i="13"/>
  <c r="P115" i="13"/>
  <c r="P119" i="13"/>
  <c r="P123" i="13"/>
  <c r="P127" i="13"/>
  <c r="P131" i="13"/>
  <c r="P135" i="13"/>
  <c r="P139" i="13"/>
  <c r="P143" i="13"/>
  <c r="P147" i="13"/>
  <c r="P151" i="13"/>
  <c r="P155" i="13"/>
  <c r="P159" i="13"/>
  <c r="P163" i="13"/>
  <c r="P167" i="13"/>
  <c r="P171" i="13"/>
  <c r="P175" i="13"/>
  <c r="P179" i="13"/>
  <c r="P183" i="13"/>
  <c r="P187" i="13"/>
  <c r="P191" i="13"/>
  <c r="P195" i="13"/>
  <c r="P199" i="13"/>
  <c r="P203" i="13"/>
  <c r="P207" i="13"/>
  <c r="P211" i="13"/>
  <c r="P215" i="13"/>
  <c r="P219" i="13"/>
  <c r="P4" i="14"/>
  <c r="P8" i="14"/>
  <c r="P12" i="14"/>
  <c r="P16" i="14"/>
  <c r="P20" i="14"/>
  <c r="P24" i="14"/>
  <c r="P28" i="14"/>
  <c r="P32" i="14"/>
  <c r="P36" i="14"/>
  <c r="P40" i="14"/>
  <c r="P44" i="14"/>
  <c r="P48" i="14"/>
  <c r="P52" i="14"/>
  <c r="P56" i="14"/>
  <c r="P60" i="14"/>
  <c r="P64" i="14"/>
  <c r="P68" i="14"/>
  <c r="P72" i="14"/>
  <c r="P76" i="14"/>
  <c r="P80" i="14"/>
  <c r="P84" i="14"/>
  <c r="P88" i="14"/>
  <c r="P92" i="14"/>
  <c r="P96" i="14"/>
  <c r="P100" i="14"/>
  <c r="P104" i="14"/>
  <c r="P108" i="14"/>
  <c r="P112" i="14"/>
  <c r="P116" i="14"/>
  <c r="P120" i="14"/>
  <c r="P124" i="14"/>
  <c r="P128" i="14"/>
  <c r="P132" i="14"/>
  <c r="P136" i="14"/>
  <c r="P140" i="14"/>
  <c r="P144" i="14"/>
  <c r="P148" i="14"/>
  <c r="P152" i="14"/>
  <c r="P156" i="14"/>
  <c r="P160" i="14"/>
  <c r="P164" i="14"/>
  <c r="P168" i="14"/>
  <c r="P172" i="14"/>
  <c r="P176" i="14"/>
  <c r="P180" i="14"/>
  <c r="P184" i="14"/>
  <c r="P188" i="14"/>
  <c r="P192" i="14"/>
  <c r="P196" i="14"/>
  <c r="P200" i="14"/>
  <c r="P204" i="14"/>
  <c r="P208" i="14"/>
  <c r="P212" i="14"/>
  <c r="P216" i="14"/>
  <c r="P220" i="14"/>
  <c r="P186" i="13"/>
  <c r="P11" i="14"/>
  <c r="P35" i="14"/>
  <c r="P39" i="14"/>
  <c r="P95" i="14"/>
  <c r="P99" i="14"/>
  <c r="P131" i="14"/>
  <c r="P179" i="14"/>
  <c r="P183" i="14"/>
  <c r="P5" i="12"/>
  <c r="P9" i="12"/>
  <c r="P13" i="12"/>
  <c r="P17" i="12"/>
  <c r="P21" i="12"/>
  <c r="P25" i="12"/>
  <c r="P29" i="12"/>
  <c r="P33" i="12"/>
  <c r="P37" i="12"/>
  <c r="P41" i="12"/>
  <c r="P45" i="12"/>
  <c r="P49" i="12"/>
  <c r="P53" i="12"/>
  <c r="P57" i="12"/>
  <c r="P61" i="12"/>
  <c r="P65" i="12"/>
  <c r="P69" i="12"/>
  <c r="P73" i="12"/>
  <c r="P77" i="12"/>
  <c r="P81" i="12"/>
  <c r="P85" i="12"/>
  <c r="P89" i="12"/>
  <c r="P93" i="12"/>
  <c r="P97" i="12"/>
  <c r="P101" i="12"/>
  <c r="P105" i="12"/>
  <c r="P109" i="12"/>
  <c r="P113" i="12"/>
  <c r="P117" i="12"/>
  <c r="P121" i="12"/>
  <c r="P125" i="12"/>
  <c r="P129" i="12"/>
  <c r="P133" i="12"/>
  <c r="P137" i="12"/>
  <c r="P141" i="12"/>
  <c r="P145" i="12"/>
  <c r="P149" i="12"/>
  <c r="P153" i="12"/>
  <c r="P157" i="12"/>
  <c r="P161" i="12"/>
  <c r="P165" i="12"/>
  <c r="P169" i="12"/>
  <c r="P173" i="12"/>
  <c r="P177" i="12"/>
  <c r="P181" i="12"/>
  <c r="P185" i="12"/>
  <c r="P189" i="12"/>
  <c r="P193" i="12"/>
  <c r="P197" i="12"/>
  <c r="P201" i="12"/>
  <c r="P205" i="12"/>
  <c r="P209" i="12"/>
  <c r="P213" i="12"/>
  <c r="P217" i="12"/>
  <c r="P5" i="13"/>
  <c r="P9" i="13"/>
  <c r="P13" i="13"/>
  <c r="P17" i="13"/>
  <c r="P21" i="13"/>
  <c r="P25" i="13"/>
  <c r="P29" i="13"/>
  <c r="P33" i="13"/>
  <c r="P37" i="13"/>
  <c r="P41" i="13"/>
  <c r="P45" i="13"/>
  <c r="P49" i="13"/>
  <c r="P53" i="13"/>
  <c r="P57" i="13"/>
  <c r="P61" i="13"/>
  <c r="P65" i="13"/>
  <c r="P69" i="13"/>
  <c r="P73" i="13"/>
  <c r="P77" i="13"/>
  <c r="P81" i="13"/>
  <c r="P85" i="13"/>
  <c r="P89" i="13"/>
  <c r="P93" i="13"/>
  <c r="P97" i="13"/>
  <c r="P101" i="13"/>
  <c r="P105" i="13"/>
  <c r="P109" i="13"/>
  <c r="P113" i="13"/>
  <c r="P117" i="13"/>
  <c r="P121" i="13"/>
  <c r="P125" i="13"/>
  <c r="P129" i="13"/>
  <c r="P133" i="13"/>
  <c r="P137" i="13"/>
  <c r="P141" i="13"/>
  <c r="P145" i="13"/>
  <c r="P149" i="13"/>
  <c r="P153" i="13"/>
  <c r="P157" i="13"/>
  <c r="P161" i="13"/>
  <c r="P165" i="13"/>
  <c r="P169" i="13"/>
  <c r="P173" i="13"/>
  <c r="P177" i="13"/>
  <c r="P181" i="13"/>
  <c r="P185" i="13"/>
  <c r="P189" i="13"/>
  <c r="P193" i="13"/>
  <c r="P197" i="13"/>
  <c r="P201" i="13"/>
  <c r="P205" i="13"/>
  <c r="P209" i="13"/>
  <c r="P213" i="13"/>
  <c r="P217" i="13"/>
  <c r="P6" i="14"/>
  <c r="P10" i="14"/>
  <c r="P14" i="14"/>
  <c r="P18" i="14"/>
  <c r="P22" i="14"/>
  <c r="P26" i="14"/>
  <c r="P30" i="14"/>
  <c r="P34" i="14"/>
  <c r="P38" i="14"/>
  <c r="P42" i="14"/>
  <c r="P46" i="14"/>
  <c r="P50" i="14"/>
  <c r="P54" i="14"/>
  <c r="P58" i="14"/>
  <c r="P62" i="14"/>
  <c r="P66" i="14"/>
  <c r="P70" i="14"/>
  <c r="P74" i="14"/>
  <c r="P78" i="14"/>
  <c r="P82" i="14"/>
  <c r="P86" i="14"/>
  <c r="P90" i="14"/>
  <c r="P94" i="14"/>
  <c r="P98" i="14"/>
  <c r="P102" i="14"/>
  <c r="P106" i="14"/>
  <c r="P110" i="14"/>
  <c r="P114" i="14"/>
  <c r="P118" i="14"/>
  <c r="P122" i="14"/>
  <c r="P126" i="14"/>
  <c r="P130" i="14"/>
  <c r="P134" i="14"/>
  <c r="P138" i="14"/>
  <c r="P142" i="14"/>
  <c r="P146" i="14"/>
  <c r="P150" i="14"/>
  <c r="P154" i="14"/>
  <c r="P158" i="14"/>
  <c r="P162" i="14"/>
  <c r="P166" i="14"/>
  <c r="P170" i="14"/>
  <c r="P174" i="14"/>
  <c r="P178" i="14"/>
  <c r="P182" i="14"/>
  <c r="P186" i="14"/>
  <c r="P190" i="14"/>
  <c r="P194" i="14"/>
  <c r="P198" i="14"/>
  <c r="P202" i="14"/>
  <c r="P206" i="14"/>
  <c r="P210" i="14"/>
  <c r="P214" i="14"/>
  <c r="P218" i="14"/>
  <c r="P7" i="16"/>
  <c r="P11" i="16"/>
  <c r="P15" i="16"/>
  <c r="P19" i="16"/>
  <c r="P23" i="16"/>
  <c r="P27" i="16"/>
  <c r="P31" i="16"/>
  <c r="P35" i="16"/>
  <c r="P39" i="16"/>
  <c r="P43" i="16"/>
  <c r="P47" i="16"/>
  <c r="P51" i="16"/>
  <c r="P55" i="16"/>
  <c r="P59" i="16"/>
  <c r="P63" i="16"/>
  <c r="P67" i="16"/>
  <c r="P71" i="16"/>
  <c r="P75" i="16"/>
  <c r="P79" i="16"/>
  <c r="P83" i="16"/>
  <c r="P87" i="16"/>
  <c r="P91" i="16"/>
  <c r="P95" i="16"/>
  <c r="P99" i="16"/>
  <c r="P103" i="16"/>
  <c r="P107" i="16"/>
  <c r="P111" i="16"/>
  <c r="P115" i="16"/>
  <c r="P119" i="16"/>
  <c r="P123" i="16"/>
  <c r="P127" i="16"/>
  <c r="P131" i="16"/>
  <c r="P135" i="16"/>
  <c r="P139" i="16"/>
  <c r="P143" i="16"/>
  <c r="P147" i="16"/>
  <c r="P151" i="16"/>
  <c r="P155" i="16"/>
  <c r="P159" i="16"/>
  <c r="P163" i="16"/>
  <c r="P167" i="16"/>
  <c r="P171" i="16"/>
  <c r="P175" i="16"/>
  <c r="P179" i="16"/>
  <c r="P183" i="16"/>
  <c r="P187" i="16"/>
  <c r="P191" i="16"/>
  <c r="P195" i="16"/>
  <c r="P199" i="16"/>
  <c r="P203" i="16"/>
  <c r="P207" i="16"/>
  <c r="P211" i="16"/>
  <c r="P215" i="16"/>
  <c r="P219" i="16"/>
  <c r="P218" i="13"/>
  <c r="P5" i="15"/>
  <c r="P9" i="15"/>
  <c r="P13" i="15"/>
  <c r="P17" i="15"/>
  <c r="P21" i="15"/>
  <c r="P25" i="15"/>
  <c r="P29" i="15"/>
  <c r="P33" i="15"/>
  <c r="P37" i="15"/>
  <c r="P41" i="15"/>
  <c r="P45" i="15"/>
  <c r="P49" i="15"/>
  <c r="P53" i="15"/>
  <c r="P57" i="15"/>
  <c r="P61" i="15"/>
  <c r="P65" i="15"/>
  <c r="P69" i="15"/>
  <c r="P73" i="15"/>
  <c r="P77" i="15"/>
  <c r="P81" i="15"/>
  <c r="P85" i="15"/>
  <c r="P89" i="15"/>
  <c r="P93" i="15"/>
  <c r="P97" i="15"/>
  <c r="P101" i="15"/>
  <c r="P105" i="15"/>
  <c r="P109" i="15"/>
  <c r="P113" i="15"/>
  <c r="P117" i="15"/>
  <c r="P121" i="15"/>
  <c r="P125" i="15"/>
  <c r="P129" i="15"/>
  <c r="P133" i="15"/>
  <c r="P137" i="15"/>
  <c r="P141" i="15"/>
  <c r="P145" i="15"/>
  <c r="P149" i="15"/>
  <c r="P153" i="15"/>
  <c r="P157" i="15"/>
  <c r="P161" i="15"/>
  <c r="P165" i="15"/>
  <c r="P169" i="15"/>
  <c r="P173" i="15"/>
  <c r="P177" i="15"/>
  <c r="P181" i="15"/>
  <c r="P185" i="15"/>
  <c r="P189" i="15"/>
  <c r="P193" i="15"/>
  <c r="P197" i="15"/>
  <c r="P201" i="15"/>
  <c r="P205" i="15"/>
  <c r="P209" i="15"/>
  <c r="P213" i="15"/>
  <c r="P217" i="15"/>
  <c r="K17" i="11"/>
  <c r="L17" i="11" s="1"/>
  <c r="O221" i="12"/>
  <c r="O2" i="12" s="1"/>
  <c r="K9" i="11"/>
  <c r="L9" i="11" s="1"/>
  <c r="G17" i="11"/>
  <c r="P6" i="15"/>
  <c r="P10" i="15"/>
  <c r="P14" i="15"/>
  <c r="P18" i="15"/>
  <c r="P22" i="15"/>
  <c r="P26" i="15"/>
  <c r="P30" i="15"/>
  <c r="P34" i="15"/>
  <c r="P38" i="15"/>
  <c r="P42" i="15"/>
  <c r="P46" i="15"/>
  <c r="P50" i="15"/>
  <c r="P54" i="15"/>
  <c r="P58" i="15"/>
  <c r="P62" i="15"/>
  <c r="P66" i="15"/>
  <c r="P70" i="15"/>
  <c r="P74" i="15"/>
  <c r="P78" i="15"/>
  <c r="P82" i="15"/>
  <c r="P86" i="15"/>
  <c r="P90" i="15"/>
  <c r="P94" i="15"/>
  <c r="P98" i="15"/>
  <c r="P102" i="15"/>
  <c r="P106" i="15"/>
  <c r="P110" i="15"/>
  <c r="P114" i="15"/>
  <c r="P118" i="15"/>
  <c r="P122" i="15"/>
  <c r="P126" i="15"/>
  <c r="P130" i="15"/>
  <c r="P134" i="15"/>
  <c r="P138" i="15"/>
  <c r="P142" i="15"/>
  <c r="P146" i="15"/>
  <c r="P150" i="15"/>
  <c r="P154" i="15"/>
  <c r="P158" i="15"/>
  <c r="P162" i="15"/>
  <c r="P166" i="15"/>
  <c r="P170" i="15"/>
  <c r="P174" i="15"/>
  <c r="P178" i="15"/>
  <c r="P182" i="15"/>
  <c r="P186" i="15"/>
  <c r="P190" i="15"/>
  <c r="P194" i="15"/>
  <c r="P198" i="15"/>
  <c r="P202" i="15"/>
  <c r="P206" i="15"/>
  <c r="P210" i="15"/>
  <c r="P214" i="15"/>
  <c r="P218" i="15"/>
  <c r="I17" i="11"/>
  <c r="P7" i="15"/>
  <c r="P11" i="15"/>
  <c r="P15" i="15"/>
  <c r="P19" i="15"/>
  <c r="P23" i="15"/>
  <c r="P27" i="15"/>
  <c r="P31" i="15"/>
  <c r="P35" i="15"/>
  <c r="P39" i="15"/>
  <c r="P43" i="15"/>
  <c r="P47" i="15"/>
  <c r="P51" i="15"/>
  <c r="P55" i="15"/>
  <c r="P59" i="15"/>
  <c r="P63" i="15"/>
  <c r="P67" i="15"/>
  <c r="P71" i="15"/>
  <c r="P75" i="15"/>
  <c r="P79" i="15"/>
  <c r="P83" i="15"/>
  <c r="P87" i="15"/>
  <c r="P91" i="15"/>
  <c r="P95" i="15"/>
  <c r="P99" i="15"/>
  <c r="P103" i="15"/>
  <c r="P107" i="15"/>
  <c r="P111" i="15"/>
  <c r="P115" i="15"/>
  <c r="P119" i="15"/>
  <c r="P123" i="15"/>
  <c r="P127" i="15"/>
  <c r="P131" i="15"/>
  <c r="P135" i="15"/>
  <c r="P139" i="15"/>
  <c r="P143" i="15"/>
  <c r="P147" i="15"/>
  <c r="P151" i="15"/>
  <c r="P155" i="15"/>
  <c r="P159" i="15"/>
  <c r="P163" i="15"/>
  <c r="P167" i="15"/>
  <c r="P171" i="15"/>
  <c r="P175" i="15"/>
  <c r="P179" i="15"/>
  <c r="P183" i="15"/>
  <c r="P187" i="15"/>
  <c r="P191" i="15"/>
  <c r="P195" i="15"/>
  <c r="P199" i="15"/>
  <c r="P203" i="15"/>
  <c r="P207" i="15"/>
  <c r="P211" i="15"/>
  <c r="P215" i="15"/>
  <c r="P219" i="15"/>
  <c r="P4" i="15"/>
  <c r="P8" i="15"/>
  <c r="P12" i="15"/>
  <c r="P16" i="15"/>
  <c r="P20" i="15"/>
  <c r="P24" i="15"/>
  <c r="P28" i="15"/>
  <c r="P32" i="15"/>
  <c r="P36" i="15"/>
  <c r="P40" i="15"/>
  <c r="P44" i="15"/>
  <c r="P48" i="15"/>
  <c r="P52" i="15"/>
  <c r="P56" i="15"/>
  <c r="P60" i="15"/>
  <c r="P64" i="15"/>
  <c r="P68" i="15"/>
  <c r="P72" i="15"/>
  <c r="P76" i="15"/>
  <c r="P80" i="15"/>
  <c r="P84" i="15"/>
  <c r="P88" i="15"/>
  <c r="P92" i="15"/>
  <c r="P96" i="15"/>
  <c r="P100" i="15"/>
  <c r="P104" i="15"/>
  <c r="P108" i="15"/>
  <c r="P112" i="15"/>
  <c r="P116" i="15"/>
  <c r="P120" i="15"/>
  <c r="P124" i="15"/>
  <c r="P128" i="15"/>
  <c r="P132" i="15"/>
  <c r="P136" i="15"/>
  <c r="P140" i="15"/>
  <c r="P144" i="15"/>
  <c r="P148" i="15"/>
  <c r="P152" i="15"/>
  <c r="P156" i="15"/>
  <c r="P160" i="15"/>
  <c r="P164" i="15"/>
  <c r="P168" i="15"/>
  <c r="P172" i="15"/>
  <c r="P176" i="15"/>
  <c r="P180" i="15"/>
  <c r="P184" i="15"/>
  <c r="P188" i="15"/>
  <c r="P192" i="15"/>
  <c r="P196" i="15"/>
  <c r="P200" i="15"/>
  <c r="P204" i="15"/>
  <c r="P208" i="15"/>
  <c r="P212" i="15"/>
  <c r="P216" i="15"/>
  <c r="P220" i="15"/>
  <c r="E17" i="11"/>
  <c r="P5" i="16"/>
  <c r="P9" i="16"/>
  <c r="P13" i="16"/>
  <c r="P17" i="16"/>
  <c r="P21" i="16"/>
  <c r="P25" i="16"/>
  <c r="P29" i="16"/>
  <c r="P33" i="16"/>
  <c r="P37" i="16"/>
  <c r="P41" i="16"/>
  <c r="P45" i="16"/>
  <c r="P49" i="16"/>
  <c r="P53" i="16"/>
  <c r="P57" i="16"/>
  <c r="P61" i="16"/>
  <c r="P65" i="16"/>
  <c r="P69" i="16"/>
  <c r="P73" i="16"/>
  <c r="P77" i="16"/>
  <c r="P81" i="16"/>
  <c r="P85" i="16"/>
  <c r="P89" i="16"/>
  <c r="P93" i="16"/>
  <c r="P97" i="16"/>
  <c r="P101" i="16"/>
  <c r="P105" i="16"/>
  <c r="P109" i="16"/>
  <c r="P113" i="16"/>
  <c r="P117" i="16"/>
  <c r="P121" i="16"/>
  <c r="P125" i="16"/>
  <c r="P129" i="16"/>
  <c r="P133" i="16"/>
  <c r="P137" i="16"/>
  <c r="P141" i="16"/>
  <c r="P145" i="16"/>
  <c r="P149" i="16"/>
  <c r="P153" i="16"/>
  <c r="P157" i="16"/>
  <c r="P161" i="16"/>
  <c r="P165" i="16"/>
  <c r="P169" i="16"/>
  <c r="P173" i="16"/>
  <c r="P177" i="16"/>
  <c r="P181" i="16"/>
  <c r="P185" i="16"/>
  <c r="P189" i="16"/>
  <c r="P193" i="16"/>
  <c r="P197" i="16"/>
  <c r="P201" i="16"/>
  <c r="P205" i="16"/>
  <c r="P209" i="16"/>
  <c r="P213" i="16"/>
  <c r="P217" i="16"/>
  <c r="P6" i="16"/>
  <c r="P10" i="16"/>
  <c r="P14" i="16"/>
  <c r="P18" i="16"/>
  <c r="P22" i="16"/>
  <c r="P26" i="16"/>
  <c r="P30" i="16"/>
  <c r="P34" i="16"/>
  <c r="P38" i="16"/>
  <c r="P42" i="16"/>
  <c r="P46" i="16"/>
  <c r="P50" i="16"/>
  <c r="P54" i="16"/>
  <c r="P58" i="16"/>
  <c r="P62" i="16"/>
  <c r="P66" i="16"/>
  <c r="P70" i="16"/>
  <c r="P74" i="16"/>
  <c r="P78" i="16"/>
  <c r="P82" i="16"/>
  <c r="P86" i="16"/>
  <c r="P90" i="16"/>
  <c r="P94" i="16"/>
  <c r="P98" i="16"/>
  <c r="P102" i="16"/>
  <c r="P106" i="16"/>
  <c r="P110" i="16"/>
  <c r="P114" i="16"/>
  <c r="P118" i="16"/>
  <c r="P122" i="16"/>
  <c r="P126" i="16"/>
  <c r="P130" i="16"/>
  <c r="P134" i="16"/>
  <c r="P138" i="16"/>
  <c r="P142" i="16"/>
  <c r="P146" i="16"/>
  <c r="P150" i="16"/>
  <c r="P154" i="16"/>
  <c r="P158" i="16"/>
  <c r="P162" i="16"/>
  <c r="P166" i="16"/>
  <c r="P170" i="16"/>
  <c r="P174" i="16"/>
  <c r="P178" i="16"/>
  <c r="P182" i="16"/>
  <c r="P186" i="16"/>
  <c r="P190" i="16"/>
  <c r="P194" i="16"/>
  <c r="P198" i="16"/>
  <c r="P202" i="16"/>
  <c r="P206" i="16"/>
  <c r="P210" i="16"/>
  <c r="P214" i="16"/>
  <c r="P218" i="16"/>
  <c r="P4" i="16"/>
  <c r="P8" i="16"/>
  <c r="P12" i="16"/>
  <c r="P16" i="16"/>
  <c r="P20" i="16"/>
  <c r="P24" i="16"/>
  <c r="P28" i="16"/>
  <c r="P32" i="16"/>
  <c r="P36" i="16"/>
  <c r="P40" i="16"/>
  <c r="P44" i="16"/>
  <c r="P48" i="16"/>
  <c r="P52" i="16"/>
  <c r="P56" i="16"/>
  <c r="P60" i="16"/>
  <c r="P64" i="16"/>
  <c r="P68" i="16"/>
  <c r="P72" i="16"/>
  <c r="P76" i="16"/>
  <c r="P80" i="16"/>
  <c r="P84" i="16"/>
  <c r="P88" i="16"/>
  <c r="P92" i="16"/>
  <c r="P96" i="16"/>
  <c r="P100" i="16"/>
  <c r="P104" i="16"/>
  <c r="P108" i="16"/>
  <c r="P112" i="16"/>
  <c r="P116" i="16"/>
  <c r="P120" i="16"/>
  <c r="P124" i="16"/>
  <c r="P128" i="16"/>
  <c r="P132" i="16"/>
  <c r="P136" i="16"/>
  <c r="P140" i="16"/>
  <c r="P144" i="16"/>
  <c r="P148" i="16"/>
  <c r="P152" i="16"/>
  <c r="P156" i="16"/>
  <c r="P160" i="16"/>
  <c r="P164" i="16"/>
  <c r="P168" i="16"/>
  <c r="P172" i="16"/>
  <c r="P176" i="16"/>
  <c r="P180" i="16"/>
  <c r="P184" i="16"/>
  <c r="P188" i="16"/>
  <c r="P192" i="16"/>
  <c r="P196" i="16"/>
  <c r="P200" i="16"/>
  <c r="P204" i="16"/>
  <c r="P208" i="16"/>
  <c r="P212" i="16"/>
  <c r="P216" i="16"/>
  <c r="P220" i="16"/>
  <c r="C17" i="11"/>
  <c r="M221" i="14"/>
  <c r="M2" i="14" s="1"/>
  <c r="N221" i="14"/>
  <c r="N2" i="14" s="1"/>
  <c r="L221" i="14"/>
  <c r="L2" i="14" s="1"/>
  <c r="K221" i="14"/>
  <c r="K2" i="14" s="1"/>
  <c r="O221" i="14"/>
  <c r="O2" i="14" s="1"/>
  <c r="N221" i="13"/>
  <c r="N2" i="13" s="1"/>
  <c r="K221" i="13"/>
  <c r="K2" i="13" s="1"/>
  <c r="O221" i="13"/>
  <c r="O2" i="13" s="1"/>
  <c r="M221" i="13"/>
  <c r="M2" i="13" s="1"/>
  <c r="L221" i="13"/>
  <c r="L2" i="13" s="1"/>
  <c r="K221" i="12"/>
  <c r="K2" i="12" s="1"/>
  <c r="L221" i="12"/>
  <c r="L2" i="12" s="1"/>
  <c r="M221" i="12"/>
  <c r="M2" i="12" s="1"/>
  <c r="N221" i="12"/>
  <c r="N2" i="12" s="1"/>
  <c r="O221" i="15"/>
  <c r="O2" i="15" s="1"/>
  <c r="G9" i="11"/>
  <c r="K13" i="11"/>
  <c r="I16" i="11"/>
  <c r="K10" i="11"/>
  <c r="K14" i="11"/>
  <c r="K15" i="11"/>
  <c r="K11" i="11"/>
  <c r="E16" i="11"/>
  <c r="K12" i="11"/>
  <c r="K16" i="11"/>
  <c r="I9" i="11"/>
  <c r="I14" i="11"/>
  <c r="I10" i="11"/>
  <c r="I15" i="11"/>
  <c r="G10" i="11"/>
  <c r="I11" i="11"/>
  <c r="G14" i="11"/>
  <c r="I13" i="11"/>
  <c r="E10" i="11"/>
  <c r="E14" i="11"/>
  <c r="G11" i="11"/>
  <c r="G15" i="11"/>
  <c r="E11" i="11"/>
  <c r="E15" i="11"/>
  <c r="G12" i="11"/>
  <c r="G16" i="11"/>
  <c r="I12" i="11"/>
  <c r="E9" i="11"/>
  <c r="E13" i="11"/>
  <c r="C9" i="11"/>
  <c r="D9" i="11" s="1"/>
  <c r="E12" i="11"/>
  <c r="G13" i="11"/>
  <c r="C10" i="11"/>
  <c r="C15" i="11"/>
  <c r="C13" i="11"/>
  <c r="C16" i="11"/>
  <c r="C14" i="11"/>
  <c r="C11" i="11"/>
  <c r="C12" i="11"/>
  <c r="K221" i="15"/>
  <c r="K2" i="15" s="1"/>
  <c r="N221" i="15"/>
  <c r="N2" i="15" s="1"/>
  <c r="M221" i="16"/>
  <c r="M2" i="16" s="1"/>
  <c r="L221" i="15"/>
  <c r="L2" i="15" s="1"/>
  <c r="M221" i="15"/>
  <c r="M2" i="15" s="1"/>
  <c r="N221" i="16"/>
  <c r="N2" i="16" s="1"/>
  <c r="K221" i="16"/>
  <c r="K2" i="16" s="1"/>
  <c r="L221" i="16"/>
  <c r="L2" i="16" s="1"/>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P5" i="2" l="1"/>
  <c r="P9" i="2"/>
  <c r="P13" i="2"/>
  <c r="P17" i="2"/>
  <c r="P21" i="2"/>
  <c r="P25" i="2"/>
  <c r="P29" i="2"/>
  <c r="P33" i="2"/>
  <c r="P37" i="2"/>
  <c r="P41" i="2"/>
  <c r="P45" i="2"/>
  <c r="P49" i="2"/>
  <c r="P53" i="2"/>
  <c r="P57" i="2"/>
  <c r="P61" i="2"/>
  <c r="P65" i="2"/>
  <c r="P69" i="2"/>
  <c r="P73" i="2"/>
  <c r="P77" i="2"/>
  <c r="P81" i="2"/>
  <c r="P85" i="2"/>
  <c r="P89" i="2"/>
  <c r="P93" i="2"/>
  <c r="P97" i="2"/>
  <c r="P101" i="2"/>
  <c r="P105" i="2"/>
  <c r="P109" i="2"/>
  <c r="P113" i="2"/>
  <c r="P121" i="2"/>
  <c r="P129" i="2"/>
  <c r="P137" i="2"/>
  <c r="P145" i="2"/>
  <c r="P153" i="2"/>
  <c r="P161" i="2"/>
  <c r="P169" i="2"/>
  <c r="P177" i="2"/>
  <c r="P185" i="2"/>
  <c r="P193" i="2"/>
  <c r="P201" i="2"/>
  <c r="P209" i="2"/>
  <c r="P217" i="2"/>
  <c r="P117" i="2"/>
  <c r="P125" i="2"/>
  <c r="P133" i="2"/>
  <c r="P141" i="2"/>
  <c r="P149" i="2"/>
  <c r="P157" i="2"/>
  <c r="P165" i="2"/>
  <c r="P173" i="2"/>
  <c r="P181" i="2"/>
  <c r="P189" i="2"/>
  <c r="P197" i="2"/>
  <c r="P205" i="2"/>
  <c r="P213" i="2"/>
  <c r="P221" i="12"/>
  <c r="P2" i="12" s="1"/>
  <c r="P221" i="14"/>
  <c r="P2" i="14" s="1"/>
  <c r="P221" i="13"/>
  <c r="P2" i="13" s="1"/>
  <c r="P8" i="2"/>
  <c r="P12" i="2"/>
  <c r="P16" i="2"/>
  <c r="P20" i="2"/>
  <c r="P24" i="2"/>
  <c r="P28" i="2"/>
  <c r="P32" i="2"/>
  <c r="P36" i="2"/>
  <c r="P40" i="2"/>
  <c r="P44" i="2"/>
  <c r="P48" i="2"/>
  <c r="P52" i="2"/>
  <c r="P56" i="2"/>
  <c r="P60" i="2"/>
  <c r="P64" i="2"/>
  <c r="P68" i="2"/>
  <c r="P72" i="2"/>
  <c r="P76" i="2"/>
  <c r="P80" i="2"/>
  <c r="P84" i="2"/>
  <c r="P88" i="2"/>
  <c r="P92" i="2"/>
  <c r="P96" i="2"/>
  <c r="P100" i="2"/>
  <c r="P104" i="2"/>
  <c r="P108" i="2"/>
  <c r="P112" i="2"/>
  <c r="P116" i="2"/>
  <c r="P120" i="2"/>
  <c r="P124" i="2"/>
  <c r="P128" i="2"/>
  <c r="P132" i="2"/>
  <c r="P136" i="2"/>
  <c r="P140" i="2"/>
  <c r="P144" i="2"/>
  <c r="P148" i="2"/>
  <c r="P152" i="2"/>
  <c r="P156" i="2"/>
  <c r="P160" i="2"/>
  <c r="P164" i="2"/>
  <c r="P168" i="2"/>
  <c r="P172" i="2"/>
  <c r="P176" i="2"/>
  <c r="P180" i="2"/>
  <c r="P184" i="2"/>
  <c r="P188" i="2"/>
  <c r="P192" i="2"/>
  <c r="P196" i="2"/>
  <c r="P7" i="2"/>
  <c r="P11" i="2"/>
  <c r="P15" i="2"/>
  <c r="P19" i="2"/>
  <c r="P23" i="2"/>
  <c r="P27" i="2"/>
  <c r="P31" i="2"/>
  <c r="P35" i="2"/>
  <c r="P39" i="2"/>
  <c r="P43" i="2"/>
  <c r="P47" i="2"/>
  <c r="P51" i="2"/>
  <c r="P55" i="2"/>
  <c r="P59" i="2"/>
  <c r="P63" i="2"/>
  <c r="P67" i="2"/>
  <c r="P71" i="2"/>
  <c r="P75" i="2"/>
  <c r="P79" i="2"/>
  <c r="P83" i="2"/>
  <c r="P87" i="2"/>
  <c r="P91" i="2"/>
  <c r="P95" i="2"/>
  <c r="P99" i="2"/>
  <c r="P103" i="2"/>
  <c r="P107" i="2"/>
  <c r="P111" i="2"/>
  <c r="P115" i="2"/>
  <c r="P119" i="2"/>
  <c r="P123" i="2"/>
  <c r="P127" i="2"/>
  <c r="P131" i="2"/>
  <c r="P135" i="2"/>
  <c r="P139" i="2"/>
  <c r="P143" i="2"/>
  <c r="P147" i="2"/>
  <c r="P151" i="2"/>
  <c r="P155" i="2"/>
  <c r="P159" i="2"/>
  <c r="P163" i="2"/>
  <c r="P167" i="2"/>
  <c r="P171" i="2"/>
  <c r="P175" i="2"/>
  <c r="P179" i="2"/>
  <c r="P183" i="2"/>
  <c r="P187" i="2"/>
  <c r="P191" i="2"/>
  <c r="P195" i="2"/>
  <c r="P199" i="2"/>
  <c r="P203" i="2"/>
  <c r="P207" i="2"/>
  <c r="P211" i="2"/>
  <c r="P215" i="2"/>
  <c r="P219" i="2"/>
  <c r="P6" i="2"/>
  <c r="P10" i="2"/>
  <c r="P14" i="2"/>
  <c r="P18" i="2"/>
  <c r="P22" i="2"/>
  <c r="P26" i="2"/>
  <c r="P30" i="2"/>
  <c r="P34" i="2"/>
  <c r="P38" i="2"/>
  <c r="P42" i="2"/>
  <c r="P46" i="2"/>
  <c r="P50" i="2"/>
  <c r="P54" i="2"/>
  <c r="P58" i="2"/>
  <c r="P62" i="2"/>
  <c r="P66" i="2"/>
  <c r="P70" i="2"/>
  <c r="P74" i="2"/>
  <c r="P78" i="2"/>
  <c r="P82" i="2"/>
  <c r="P86" i="2"/>
  <c r="P90" i="2"/>
  <c r="P94" i="2"/>
  <c r="P98" i="2"/>
  <c r="P102" i="2"/>
  <c r="P106" i="2"/>
  <c r="P110" i="2"/>
  <c r="P114" i="2"/>
  <c r="P118" i="2"/>
  <c r="P122" i="2"/>
  <c r="P126" i="2"/>
  <c r="P130" i="2"/>
  <c r="P134" i="2"/>
  <c r="P138" i="2"/>
  <c r="P142" i="2"/>
  <c r="P146" i="2"/>
  <c r="P150" i="2"/>
  <c r="P154" i="2"/>
  <c r="P158" i="2"/>
  <c r="P162" i="2"/>
  <c r="P166" i="2"/>
  <c r="P170" i="2"/>
  <c r="P174" i="2"/>
  <c r="P178" i="2"/>
  <c r="P182" i="2"/>
  <c r="P186" i="2"/>
  <c r="P190" i="2"/>
  <c r="P194" i="2"/>
  <c r="P198" i="2"/>
  <c r="P202" i="2"/>
  <c r="P206" i="2"/>
  <c r="P210" i="2"/>
  <c r="P214" i="2"/>
  <c r="P218" i="2"/>
  <c r="P221" i="16"/>
  <c r="P2" i="16" s="1"/>
  <c r="P221" i="15"/>
  <c r="P2" i="15" s="1"/>
  <c r="P4" i="2"/>
  <c r="P200" i="2"/>
  <c r="P204" i="2"/>
  <c r="P208" i="2"/>
  <c r="P212" i="2"/>
  <c r="P216" i="2"/>
  <c r="P220" i="2"/>
  <c r="E32" i="11"/>
  <c r="F32" i="11" s="1"/>
  <c r="E24" i="11"/>
  <c r="F24" i="11" s="1"/>
  <c r="E29" i="11"/>
  <c r="F29" i="11" s="1"/>
  <c r="E30" i="11"/>
  <c r="F30" i="11" s="1"/>
  <c r="E31" i="11"/>
  <c r="F31" i="11" s="1"/>
  <c r="O221" i="2"/>
  <c r="O2" i="2" s="1"/>
  <c r="K31" i="11"/>
  <c r="L31" i="11" s="1"/>
  <c r="K27" i="11"/>
  <c r="L27" i="11" s="1"/>
  <c r="K32" i="11"/>
  <c r="K28" i="11"/>
  <c r="L28" i="11" s="1"/>
  <c r="K24" i="11"/>
  <c r="L24" i="11" s="1"/>
  <c r="K29" i="11"/>
  <c r="L29" i="11" s="1"/>
  <c r="K25" i="11"/>
  <c r="L25" i="11" s="1"/>
  <c r="K30" i="11"/>
  <c r="L30" i="11" s="1"/>
  <c r="K26" i="11"/>
  <c r="L26" i="11" s="1"/>
  <c r="I29" i="11"/>
  <c r="J29" i="11" s="1"/>
  <c r="I25" i="11"/>
  <c r="J25" i="11" s="1"/>
  <c r="I30" i="11"/>
  <c r="J30" i="11" s="1"/>
  <c r="I26" i="11"/>
  <c r="J26" i="11" s="1"/>
  <c r="I31" i="11"/>
  <c r="J31" i="11" s="1"/>
  <c r="I27" i="11"/>
  <c r="J27" i="11" s="1"/>
  <c r="I32" i="11"/>
  <c r="I28" i="11"/>
  <c r="J28" i="11" s="1"/>
  <c r="I24" i="11"/>
  <c r="J24" i="11" s="1"/>
  <c r="G31" i="11"/>
  <c r="H31" i="11" s="1"/>
  <c r="G27" i="11"/>
  <c r="H27" i="11" s="1"/>
  <c r="G32" i="11"/>
  <c r="G46" i="11" s="1"/>
  <c r="H46" i="11" s="1"/>
  <c r="G28" i="11"/>
  <c r="H28" i="11" s="1"/>
  <c r="G24" i="11"/>
  <c r="H24" i="11" s="1"/>
  <c r="G29" i="11"/>
  <c r="H29" i="11" s="1"/>
  <c r="G25" i="11"/>
  <c r="H25" i="11" s="1"/>
  <c r="G30" i="11"/>
  <c r="H30" i="11" s="1"/>
  <c r="G26" i="11"/>
  <c r="H26" i="11" s="1"/>
  <c r="M29" i="11"/>
  <c r="N29" i="11" s="1"/>
  <c r="J17" i="11"/>
  <c r="I46" i="11"/>
  <c r="J46" i="11" s="1"/>
  <c r="H17" i="11"/>
  <c r="D17" i="11"/>
  <c r="F17" i="11"/>
  <c r="H13" i="11"/>
  <c r="F9" i="11"/>
  <c r="E38" i="11"/>
  <c r="F38" i="11" s="1"/>
  <c r="F15" i="11"/>
  <c r="E44" i="11"/>
  <c r="F44" i="11" s="1"/>
  <c r="F14" i="11"/>
  <c r="J11" i="11"/>
  <c r="J14" i="11"/>
  <c r="F16" i="11"/>
  <c r="L10" i="11"/>
  <c r="H9" i="11"/>
  <c r="F12" i="11"/>
  <c r="J12" i="11"/>
  <c r="F11" i="11"/>
  <c r="F10" i="11"/>
  <c r="H10" i="11"/>
  <c r="G39" i="11"/>
  <c r="H39" i="11" s="1"/>
  <c r="J9" i="11"/>
  <c r="L11" i="11"/>
  <c r="K40" i="11"/>
  <c r="L40" i="11" s="1"/>
  <c r="J16" i="11"/>
  <c r="H16" i="11"/>
  <c r="H15" i="11"/>
  <c r="J13" i="11"/>
  <c r="I42" i="11"/>
  <c r="J42" i="11" s="1"/>
  <c r="J15" i="11"/>
  <c r="I44" i="11"/>
  <c r="J44" i="11" s="1"/>
  <c r="L16" i="11"/>
  <c r="K45" i="11"/>
  <c r="L45" i="11" s="1"/>
  <c r="L15" i="11"/>
  <c r="K44" i="11"/>
  <c r="L44" i="11" s="1"/>
  <c r="L13" i="11"/>
  <c r="K42" i="11"/>
  <c r="L42" i="11" s="1"/>
  <c r="F13" i="11"/>
  <c r="H12" i="11"/>
  <c r="G41" i="11"/>
  <c r="H11" i="11"/>
  <c r="H14" i="11"/>
  <c r="J10" i="11"/>
  <c r="L12" i="11"/>
  <c r="L14" i="11"/>
  <c r="C30" i="11"/>
  <c r="C26" i="11"/>
  <c r="D26" i="11" s="1"/>
  <c r="C32" i="11"/>
  <c r="D32" i="11" s="1"/>
  <c r="C28" i="11"/>
  <c r="D28" i="11" s="1"/>
  <c r="C24" i="11"/>
  <c r="D24" i="11" s="1"/>
  <c r="C31" i="11"/>
  <c r="C27" i="11"/>
  <c r="D27" i="11" s="1"/>
  <c r="C29" i="11"/>
  <c r="D29" i="11" s="1"/>
  <c r="C25" i="11"/>
  <c r="D25" i="11" s="1"/>
  <c r="J32" i="11"/>
  <c r="E25" i="11"/>
  <c r="F25" i="11" s="1"/>
  <c r="E28" i="11"/>
  <c r="F28" i="11" s="1"/>
  <c r="E27" i="11"/>
  <c r="F27" i="11" s="1"/>
  <c r="E26" i="11"/>
  <c r="F26" i="11" s="1"/>
  <c r="M14" i="11"/>
  <c r="M10" i="11"/>
  <c r="M9" i="11"/>
  <c r="M17" i="11"/>
  <c r="M13" i="11"/>
  <c r="M16" i="11"/>
  <c r="M12" i="11"/>
  <c r="M15" i="11"/>
  <c r="M11" i="11"/>
  <c r="D16" i="11"/>
  <c r="D11" i="11"/>
  <c r="D15" i="11"/>
  <c r="D14" i="11"/>
  <c r="D10" i="11"/>
  <c r="D12" i="11"/>
  <c r="D13" i="11"/>
  <c r="N221" i="2"/>
  <c r="N2" i="2" s="1"/>
  <c r="M221" i="2"/>
  <c r="M2" i="2" s="1"/>
  <c r="L221" i="2"/>
  <c r="L2" i="2" s="1"/>
  <c r="K221" i="2"/>
  <c r="K2" i="2" s="1"/>
  <c r="FQ221" i="2"/>
  <c r="FQ2" i="2" s="1"/>
  <c r="FR221" i="2"/>
  <c r="FR2" i="2" s="1"/>
  <c r="FS221" i="2"/>
  <c r="FS2" i="2" s="1"/>
  <c r="FT221" i="2"/>
  <c r="FT2" i="2" s="1"/>
  <c r="FU221" i="2"/>
  <c r="FU2" i="2" s="1"/>
  <c r="FV221" i="2"/>
  <c r="FV2" i="2" s="1"/>
  <c r="FW221" i="2"/>
  <c r="FW2" i="2" s="1"/>
  <c r="FX221" i="2"/>
  <c r="FX2" i="2" s="1"/>
  <c r="FY221" i="2"/>
  <c r="FY2" i="2" s="1"/>
  <c r="FZ221" i="2"/>
  <c r="FZ2" i="2" s="1"/>
  <c r="GA221" i="2"/>
  <c r="GA2" i="2" s="1"/>
  <c r="GB221" i="2"/>
  <c r="GB2" i="2" s="1"/>
  <c r="GC221" i="2"/>
  <c r="GC2" i="2" s="1"/>
  <c r="GD221" i="2"/>
  <c r="GD2" i="2" s="1"/>
  <c r="GE221" i="2"/>
  <c r="GE2" i="2" s="1"/>
  <c r="GF221" i="2"/>
  <c r="GF2" i="2" s="1"/>
  <c r="GG221" i="2"/>
  <c r="GG2" i="2" s="1"/>
  <c r="GH221" i="2"/>
  <c r="GH2" i="2" s="1"/>
  <c r="GI221" i="2"/>
  <c r="GI2" i="2" s="1"/>
  <c r="GJ221" i="2"/>
  <c r="GJ2" i="2" s="1"/>
  <c r="GK221" i="2"/>
  <c r="GK2" i="2" s="1"/>
  <c r="GL221" i="2"/>
  <c r="GL2" i="2" s="1"/>
  <c r="GM221" i="2"/>
  <c r="GM2" i="2" s="1"/>
  <c r="GN221" i="2"/>
  <c r="GN2" i="2" s="1"/>
  <c r="GO221" i="2"/>
  <c r="GO2" i="2" s="1"/>
  <c r="GP221" i="2"/>
  <c r="GP2" i="2" s="1"/>
  <c r="GQ221" i="2"/>
  <c r="GQ2" i="2" s="1"/>
  <c r="GR221" i="2"/>
  <c r="GR2" i="2" s="1"/>
  <c r="GS221" i="2"/>
  <c r="GS2" i="2" s="1"/>
  <c r="GT221" i="2"/>
  <c r="GT2" i="2" s="1"/>
  <c r="GU221" i="2"/>
  <c r="GU2" i="2" s="1"/>
  <c r="GV221" i="2"/>
  <c r="GV2" i="2" s="1"/>
  <c r="GW221" i="2"/>
  <c r="GW2" i="2" s="1"/>
  <c r="GX221" i="2"/>
  <c r="GX2" i="2" s="1"/>
  <c r="GY221" i="2"/>
  <c r="GY2" i="2" s="1"/>
  <c r="GZ221" i="2"/>
  <c r="GZ2" i="2" s="1"/>
  <c r="HA221" i="2"/>
  <c r="HA2" i="2" s="1"/>
  <c r="HB221" i="2"/>
  <c r="HB2" i="2" s="1"/>
  <c r="HC221" i="2"/>
  <c r="HC2" i="2" s="1"/>
  <c r="HD221" i="2"/>
  <c r="HD2" i="2" s="1"/>
  <c r="HE221" i="2"/>
  <c r="HE2" i="2" s="1"/>
  <c r="HF221" i="2"/>
  <c r="HF2" i="2" s="1"/>
  <c r="HG221" i="2"/>
  <c r="HG2" i="2" s="1"/>
  <c r="HH221" i="2"/>
  <c r="HH2" i="2" s="1"/>
  <c r="DS221" i="2"/>
  <c r="DS2" i="2" s="1"/>
  <c r="DT221" i="2"/>
  <c r="DT2" i="2" s="1"/>
  <c r="DU221" i="2"/>
  <c r="DU2" i="2" s="1"/>
  <c r="DV221" i="2"/>
  <c r="DV2" i="2" s="1"/>
  <c r="DW221" i="2"/>
  <c r="DW2" i="2" s="1"/>
  <c r="DX221" i="2"/>
  <c r="DX2" i="2" s="1"/>
  <c r="DY221" i="2"/>
  <c r="DY2" i="2" s="1"/>
  <c r="DZ221" i="2"/>
  <c r="DZ2" i="2" s="1"/>
  <c r="EA221" i="2"/>
  <c r="EA2" i="2" s="1"/>
  <c r="EB221" i="2"/>
  <c r="EB2" i="2" s="1"/>
  <c r="EC221" i="2"/>
  <c r="EC2" i="2" s="1"/>
  <c r="ED221" i="2"/>
  <c r="ED2" i="2" s="1"/>
  <c r="EE221" i="2"/>
  <c r="EE2" i="2" s="1"/>
  <c r="EF221" i="2"/>
  <c r="EF2" i="2" s="1"/>
  <c r="EG221" i="2"/>
  <c r="EG2" i="2" s="1"/>
  <c r="EH221" i="2"/>
  <c r="EH2" i="2" s="1"/>
  <c r="EI221" i="2"/>
  <c r="EI2" i="2" s="1"/>
  <c r="EJ221" i="2"/>
  <c r="EJ2" i="2" s="1"/>
  <c r="EK221" i="2"/>
  <c r="EK2" i="2" s="1"/>
  <c r="EL221" i="2"/>
  <c r="EL2" i="2" s="1"/>
  <c r="EM221" i="2"/>
  <c r="EM2" i="2" s="1"/>
  <c r="EN221" i="2"/>
  <c r="EN2" i="2" s="1"/>
  <c r="EO221" i="2"/>
  <c r="EO2" i="2" s="1"/>
  <c r="EP221" i="2"/>
  <c r="EP2" i="2" s="1"/>
  <c r="EQ221" i="2"/>
  <c r="EQ2" i="2" s="1"/>
  <c r="ER221" i="2"/>
  <c r="ER2" i="2" s="1"/>
  <c r="ES221" i="2"/>
  <c r="ES2" i="2" s="1"/>
  <c r="ET221" i="2"/>
  <c r="ET2" i="2" s="1"/>
  <c r="EU221" i="2"/>
  <c r="EU2" i="2" s="1"/>
  <c r="EV221" i="2"/>
  <c r="EV2" i="2" s="1"/>
  <c r="EW221" i="2"/>
  <c r="EW2" i="2" s="1"/>
  <c r="EX221" i="2"/>
  <c r="EX2" i="2" s="1"/>
  <c r="EY221" i="2"/>
  <c r="EY2" i="2" s="1"/>
  <c r="EZ221" i="2"/>
  <c r="EZ2" i="2" s="1"/>
  <c r="FA221" i="2"/>
  <c r="FA2" i="2" s="1"/>
  <c r="FB221" i="2"/>
  <c r="FB2" i="2" s="1"/>
  <c r="FC221" i="2"/>
  <c r="FC2" i="2" s="1"/>
  <c r="FD221" i="2"/>
  <c r="FD2" i="2" s="1"/>
  <c r="FE221" i="2"/>
  <c r="FE2" i="2" s="1"/>
  <c r="FF221" i="2"/>
  <c r="FF2" i="2" s="1"/>
  <c r="FG221" i="2"/>
  <c r="FG2" i="2" s="1"/>
  <c r="FH221" i="2"/>
  <c r="FH2" i="2" s="1"/>
  <c r="FI221" i="2"/>
  <c r="FI2" i="2" s="1"/>
  <c r="FJ221" i="2"/>
  <c r="FJ2" i="2" s="1"/>
  <c r="W221" i="2"/>
  <c r="W2" i="2" s="1"/>
  <c r="X221" i="2"/>
  <c r="X2" i="2" s="1"/>
  <c r="Y221" i="2"/>
  <c r="Y2" i="2" s="1"/>
  <c r="Z221" i="2"/>
  <c r="Z2" i="2" s="1"/>
  <c r="AA221" i="2"/>
  <c r="AA2" i="2" s="1"/>
  <c r="AB221" i="2"/>
  <c r="AB2" i="2" s="1"/>
  <c r="AC221" i="2"/>
  <c r="AC2" i="2" s="1"/>
  <c r="AD221" i="2"/>
  <c r="AD2" i="2" s="1"/>
  <c r="AE221" i="2"/>
  <c r="AE2" i="2" s="1"/>
  <c r="AF221" i="2"/>
  <c r="AF2" i="2" s="1"/>
  <c r="AG221" i="2"/>
  <c r="AG2" i="2" s="1"/>
  <c r="AH221" i="2"/>
  <c r="AH2" i="2" s="1"/>
  <c r="AI221" i="2"/>
  <c r="AI2" i="2" s="1"/>
  <c r="AJ221" i="2"/>
  <c r="AJ2" i="2" s="1"/>
  <c r="AK221" i="2"/>
  <c r="AK2" i="2" s="1"/>
  <c r="AL221" i="2"/>
  <c r="AL2" i="2" s="1"/>
  <c r="AM221" i="2"/>
  <c r="AM2" i="2" s="1"/>
  <c r="AN221" i="2"/>
  <c r="AN2" i="2" s="1"/>
  <c r="AO221" i="2"/>
  <c r="AO2" i="2" s="1"/>
  <c r="AP221" i="2"/>
  <c r="AP2" i="2" s="1"/>
  <c r="AQ221" i="2"/>
  <c r="AQ2" i="2" s="1"/>
  <c r="AR221" i="2"/>
  <c r="AR2" i="2" s="1"/>
  <c r="AS221" i="2"/>
  <c r="AS2" i="2" s="1"/>
  <c r="AT221" i="2"/>
  <c r="AT2" i="2" s="1"/>
  <c r="AU221" i="2"/>
  <c r="AU2" i="2" s="1"/>
  <c r="AV221" i="2"/>
  <c r="AV2" i="2" s="1"/>
  <c r="AW221" i="2"/>
  <c r="AW2" i="2" s="1"/>
  <c r="AX221" i="2"/>
  <c r="AX2" i="2" s="1"/>
  <c r="AY221" i="2"/>
  <c r="AY2" i="2" s="1"/>
  <c r="AZ221" i="2"/>
  <c r="AZ2" i="2" s="1"/>
  <c r="BA221" i="2"/>
  <c r="BA2" i="2" s="1"/>
  <c r="BB221" i="2"/>
  <c r="BB2" i="2" s="1"/>
  <c r="BC221" i="2"/>
  <c r="BC2" i="2" s="1"/>
  <c r="BD221" i="2"/>
  <c r="BD2" i="2" s="1"/>
  <c r="BE221" i="2"/>
  <c r="BE2" i="2" s="1"/>
  <c r="BF221" i="2"/>
  <c r="BF2" i="2" s="1"/>
  <c r="BG221" i="2"/>
  <c r="BG2" i="2" s="1"/>
  <c r="BH221" i="2"/>
  <c r="BH2" i="2" s="1"/>
  <c r="BI221" i="2"/>
  <c r="BI2" i="2" s="1"/>
  <c r="BJ221" i="2"/>
  <c r="BJ2" i="2" s="1"/>
  <c r="BK221" i="2"/>
  <c r="BK2" i="2" s="1"/>
  <c r="BL221" i="2"/>
  <c r="BL2" i="2" s="1"/>
  <c r="BM221" i="2"/>
  <c r="BM2" i="2" s="1"/>
  <c r="BN221" i="2"/>
  <c r="BN2" i="2" s="1"/>
  <c r="M27" i="11" l="1"/>
  <c r="N27" i="11" s="1"/>
  <c r="H32" i="11"/>
  <c r="I40" i="11"/>
  <c r="J40" i="11" s="1"/>
  <c r="E43" i="11"/>
  <c r="F43" i="11" s="1"/>
  <c r="M26" i="11"/>
  <c r="N26" i="11" s="1"/>
  <c r="M25" i="11"/>
  <c r="N25" i="11" s="1"/>
  <c r="M32" i="11"/>
  <c r="N32" i="11" s="1"/>
  <c r="M30" i="11"/>
  <c r="N30" i="11" s="1"/>
  <c r="M24" i="11"/>
  <c r="N24" i="11" s="1"/>
  <c r="M31" i="11"/>
  <c r="N31" i="11" s="1"/>
  <c r="M28" i="11"/>
  <c r="N28" i="11" s="1"/>
  <c r="K43" i="11"/>
  <c r="L43" i="11" s="1"/>
  <c r="K41" i="11"/>
  <c r="I45" i="11"/>
  <c r="J45" i="11" s="1"/>
  <c r="I38" i="11"/>
  <c r="J38" i="11" s="1"/>
  <c r="I43" i="11"/>
  <c r="J43" i="11" s="1"/>
  <c r="P221" i="2"/>
  <c r="P2" i="2" s="1"/>
  <c r="G43" i="11"/>
  <c r="H43" i="11" s="1"/>
  <c r="E46" i="11"/>
  <c r="F46" i="11" s="1"/>
  <c r="G44" i="11"/>
  <c r="H44" i="11" s="1"/>
  <c r="G42" i="11"/>
  <c r="H42" i="11" s="1"/>
  <c r="K39" i="11"/>
  <c r="L39" i="11" s="1"/>
  <c r="G45" i="11"/>
  <c r="H45" i="11" s="1"/>
  <c r="I41" i="11"/>
  <c r="I39" i="11"/>
  <c r="J39" i="11" s="1"/>
  <c r="G40" i="11"/>
  <c r="H40" i="11" s="1"/>
  <c r="G38" i="11"/>
  <c r="H38" i="11" s="1"/>
  <c r="E45" i="11"/>
  <c r="F45" i="11" s="1"/>
  <c r="L32" i="11"/>
  <c r="K46" i="11"/>
  <c r="L46" i="11" s="1"/>
  <c r="K38" i="11"/>
  <c r="L38" i="11" s="1"/>
  <c r="C39" i="11"/>
  <c r="D39" i="11" s="1"/>
  <c r="N17" i="11"/>
  <c r="C41" i="11"/>
  <c r="C46" i="11"/>
  <c r="D46" i="11" s="1"/>
  <c r="C38" i="11"/>
  <c r="D38" i="11" s="1"/>
  <c r="N12" i="11"/>
  <c r="M41" i="11"/>
  <c r="N16" i="11"/>
  <c r="N10" i="11"/>
  <c r="M39" i="11"/>
  <c r="N39" i="11" s="1"/>
  <c r="C43" i="11"/>
  <c r="D43" i="11" s="1"/>
  <c r="C44" i="11"/>
  <c r="D44" i="11" s="1"/>
  <c r="E40" i="11"/>
  <c r="F40" i="11" s="1"/>
  <c r="E41" i="11"/>
  <c r="N9" i="11"/>
  <c r="N11" i="11"/>
  <c r="M40" i="11"/>
  <c r="N40" i="11" s="1"/>
  <c r="N13" i="11"/>
  <c r="M42" i="11"/>
  <c r="N42" i="11" s="1"/>
  <c r="N14" i="11"/>
  <c r="M43" i="11"/>
  <c r="N43" i="11" s="1"/>
  <c r="E42" i="11"/>
  <c r="F42" i="11" s="1"/>
  <c r="C40" i="11"/>
  <c r="D40" i="11" s="1"/>
  <c r="N15" i="11"/>
  <c r="E39" i="11"/>
  <c r="F39" i="11" s="1"/>
  <c r="C42" i="11"/>
  <c r="D42" i="11" s="1"/>
  <c r="C45" i="11"/>
  <c r="D45" i="11" s="1"/>
  <c r="B32" i="1"/>
  <c r="BV221" i="2"/>
  <c r="BV2" i="2" s="1"/>
  <c r="BW221" i="2"/>
  <c r="BW2" i="2" s="1"/>
  <c r="BX221" i="2"/>
  <c r="BX2" i="2" s="1"/>
  <c r="BY221" i="2"/>
  <c r="BY2" i="2" s="1"/>
  <c r="BZ221" i="2"/>
  <c r="BZ2" i="2" s="1"/>
  <c r="CA221" i="2"/>
  <c r="CA2" i="2" s="1"/>
  <c r="CB221" i="2"/>
  <c r="CB2" i="2" s="1"/>
  <c r="CC221" i="2"/>
  <c r="CC2" i="2" s="1"/>
  <c r="CD221" i="2"/>
  <c r="CD2" i="2" s="1"/>
  <c r="CE221" i="2"/>
  <c r="CE2" i="2" s="1"/>
  <c r="CF221" i="2"/>
  <c r="CF2" i="2" s="1"/>
  <c r="CG221" i="2"/>
  <c r="CG2" i="2" s="1"/>
  <c r="CH221" i="2"/>
  <c r="CH2" i="2" s="1"/>
  <c r="CI221" i="2"/>
  <c r="CI2" i="2" s="1"/>
  <c r="CJ221" i="2"/>
  <c r="CJ2" i="2" s="1"/>
  <c r="CK221" i="2"/>
  <c r="CK2" i="2" s="1"/>
  <c r="CL221" i="2"/>
  <c r="CL2" i="2" s="1"/>
  <c r="CM221" i="2"/>
  <c r="CM2" i="2" s="1"/>
  <c r="CN221" i="2"/>
  <c r="CN2" i="2" s="1"/>
  <c r="CO221" i="2"/>
  <c r="CO2" i="2" s="1"/>
  <c r="CP221" i="2"/>
  <c r="CP2" i="2" s="1"/>
  <c r="CQ221" i="2"/>
  <c r="CQ2" i="2" s="1"/>
  <c r="CR221" i="2"/>
  <c r="CR2" i="2" s="1"/>
  <c r="CS221" i="2"/>
  <c r="CS2" i="2" s="1"/>
  <c r="CT221" i="2"/>
  <c r="CT2" i="2" s="1"/>
  <c r="CU221" i="2"/>
  <c r="CU2" i="2" s="1"/>
  <c r="CV221" i="2"/>
  <c r="CV2" i="2" s="1"/>
  <c r="CW221" i="2"/>
  <c r="CW2" i="2" s="1"/>
  <c r="CX221" i="2"/>
  <c r="CX2" i="2" s="1"/>
  <c r="CY221" i="2"/>
  <c r="CY2" i="2" s="1"/>
  <c r="CZ221" i="2"/>
  <c r="CZ2" i="2" s="1"/>
  <c r="DA221" i="2"/>
  <c r="DA2" i="2" s="1"/>
  <c r="DB221" i="2"/>
  <c r="DB2" i="2" s="1"/>
  <c r="DC221" i="2"/>
  <c r="DC2" i="2" s="1"/>
  <c r="DD221" i="2"/>
  <c r="DD2" i="2" s="1"/>
  <c r="DE221" i="2"/>
  <c r="DE2" i="2" s="1"/>
  <c r="DF221" i="2"/>
  <c r="DF2" i="2" s="1"/>
  <c r="DG221" i="2"/>
  <c r="DG2" i="2" s="1"/>
  <c r="DH221" i="2"/>
  <c r="DH2" i="2" s="1"/>
  <c r="DI221" i="2"/>
  <c r="DI2" i="2" s="1"/>
  <c r="DJ221" i="2"/>
  <c r="DJ2" i="2" s="1"/>
  <c r="DK221" i="2"/>
  <c r="DK2" i="2" s="1"/>
  <c r="DL221" i="2"/>
  <c r="DL2" i="2" s="1"/>
  <c r="BU221" i="2"/>
  <c r="BU2" i="2" s="1"/>
  <c r="M44" i="11" l="1"/>
  <c r="N44" i="11" s="1"/>
  <c r="M46" i="11"/>
  <c r="N46" i="11" s="1"/>
  <c r="M45" i="11"/>
  <c r="N45" i="11" s="1"/>
  <c r="M38" i="11"/>
  <c r="N38" i="11" s="1"/>
  <c r="D50" i="1"/>
  <c r="D49" i="1"/>
  <c r="D51" i="1"/>
  <c r="D55" i="1"/>
  <c r="D52" i="1"/>
  <c r="D48" i="1"/>
  <c r="D45" i="1"/>
  <c r="E221" i="2" l="1"/>
  <c r="F221" i="2"/>
  <c r="G221" i="2"/>
  <c r="H221" i="2"/>
  <c r="I221" i="2"/>
  <c r="J221" i="2"/>
  <c r="J2" i="2" s="1"/>
  <c r="D41" i="1"/>
  <c r="D42" i="1"/>
  <c r="D35" i="1" l="1"/>
  <c r="R221" i="2" l="1"/>
  <c r="R2" i="2" s="1"/>
  <c r="S221" i="2"/>
  <c r="S2" i="2" s="1"/>
  <c r="T221" i="2"/>
  <c r="T2" i="2" s="1"/>
  <c r="U221" i="2"/>
  <c r="U2" i="2" s="1"/>
  <c r="V221" i="2"/>
  <c r="V2" i="2" s="1"/>
  <c r="BO221" i="2"/>
  <c r="BO2" i="2" s="1"/>
  <c r="BP221" i="2"/>
  <c r="BP2" i="2" s="1"/>
  <c r="BQ221" i="2"/>
  <c r="BQ2" i="2" s="1"/>
  <c r="BR221" i="2"/>
  <c r="BR2" i="2" s="1"/>
  <c r="BS221" i="2"/>
  <c r="BS2" i="2" s="1"/>
  <c r="BT221" i="2"/>
  <c r="BT2" i="2" s="1"/>
  <c r="DM221" i="2"/>
  <c r="DM2" i="2" s="1"/>
  <c r="DN221" i="2"/>
  <c r="DN2" i="2" s="1"/>
  <c r="DO221" i="2"/>
  <c r="DO2" i="2" s="1"/>
  <c r="DP221" i="2"/>
  <c r="DP2" i="2" s="1"/>
  <c r="DQ221" i="2"/>
  <c r="DQ2" i="2" s="1"/>
  <c r="DR221" i="2"/>
  <c r="DR2" i="2" s="1"/>
  <c r="FK221" i="2"/>
  <c r="FK2" i="2" s="1"/>
  <c r="FL221" i="2"/>
  <c r="FL2" i="2" s="1"/>
  <c r="FM221" i="2"/>
  <c r="FM2" i="2" s="1"/>
  <c r="FN221" i="2"/>
  <c r="FN2" i="2" s="1"/>
  <c r="FO221" i="2"/>
  <c r="FO2" i="2" s="1"/>
  <c r="FP221" i="2"/>
  <c r="FP2" i="2" s="1"/>
  <c r="Q221" i="2"/>
  <c r="Q2" i="2" s="1"/>
  <c r="F2" i="2"/>
  <c r="G2" i="2"/>
  <c r="H2" i="2"/>
  <c r="I2" i="2"/>
  <c r="E2" i="2"/>
  <c r="D30" i="1"/>
  <c r="D24" i="1"/>
  <c r="D21" i="1"/>
  <c r="D20" i="1"/>
  <c r="D19" i="1"/>
  <c r="D18" i="1"/>
  <c r="D15" i="1"/>
  <c r="D14" i="1"/>
  <c r="D13" i="1"/>
  <c r="D12" i="1"/>
  <c r="D11" i="1"/>
  <c r="D10" i="1"/>
  <c r="D9" i="1"/>
  <c r="B25" i="1" l="1"/>
  <c r="C38" i="1"/>
  <c r="D38" i="1" s="1"/>
  <c r="C39" i="1"/>
  <c r="D39" i="1" s="1"/>
  <c r="C40" i="1"/>
  <c r="D40" i="1" s="1"/>
  <c r="B34" i="1"/>
  <c r="B29" i="1"/>
  <c r="B26" i="1"/>
  <c r="B31" i="1"/>
  <c r="C46" i="1"/>
  <c r="C47" i="1" s="1"/>
  <c r="D47" i="1" s="1"/>
  <c r="B40" i="1" l="1"/>
  <c r="B39" i="1"/>
  <c r="B27" i="1"/>
  <c r="B28" i="1" s="1"/>
  <c r="B33" i="1"/>
  <c r="B38" i="1"/>
</calcChain>
</file>

<file path=xl/comments1.xml><?xml version="1.0" encoding="utf-8"?>
<comments xmlns="http://schemas.openxmlformats.org/spreadsheetml/2006/main">
  <authors>
    <author>Leon Carter</author>
    <author>Henry Mclaughlin</author>
    <author>David Taylor</author>
  </authors>
  <commentList>
    <comment ref="B4" authorId="0" shapeId="0">
      <text>
        <r>
          <rPr>
            <sz val="9"/>
            <color indexed="81"/>
            <rFont val="Tahoma"/>
            <family val="2"/>
          </rPr>
          <t>Type your school name in this cell.</t>
        </r>
      </text>
    </comment>
    <comment ref="B5" authorId="0" shapeId="0">
      <text>
        <r>
          <rPr>
            <sz val="9"/>
            <color indexed="81"/>
            <rFont val="Tahoma"/>
            <family val="2"/>
          </rPr>
          <t>Input the amount of KS2 children in this cell.</t>
        </r>
      </text>
    </comment>
    <comment ref="B24" authorId="0" shapeId="0">
      <text>
        <r>
          <rPr>
            <sz val="9"/>
            <color indexed="81"/>
            <rFont val="Tahoma"/>
            <family val="2"/>
          </rPr>
          <t>Use the drop down menu to choose the statement that best fits your school.</t>
        </r>
      </text>
    </comment>
    <comment ref="B30" authorId="1" shapeId="0">
      <text>
        <r>
          <rPr>
            <b/>
            <sz val="9"/>
            <color indexed="81"/>
            <rFont val="Tahoma"/>
            <family val="2"/>
          </rPr>
          <t>Use the dropdown menu to select the statement which applies to your school</t>
        </r>
      </text>
    </comment>
    <comment ref="B35" authorId="1" shapeId="0">
      <text>
        <r>
          <rPr>
            <b/>
            <sz val="9"/>
            <color indexed="81"/>
            <rFont val="Tahoma"/>
            <family val="2"/>
          </rPr>
          <t>Use the dropdown menu to select the statement which applies to your school.</t>
        </r>
        <r>
          <rPr>
            <sz val="9"/>
            <color indexed="81"/>
            <rFont val="Tahoma"/>
            <family val="2"/>
          </rPr>
          <t xml:space="preserve">
</t>
        </r>
      </text>
    </comment>
    <comment ref="C41" authorId="2" shapeId="0">
      <text>
        <r>
          <rPr>
            <b/>
            <sz val="9"/>
            <color indexed="81"/>
            <rFont val="Tahoma"/>
            <family val="2"/>
          </rPr>
          <t>Enter the total amount of B teams your school has entered into competitions this year.</t>
        </r>
      </text>
    </comment>
    <comment ref="C42" authorId="2" shapeId="0">
      <text>
        <r>
          <rPr>
            <b/>
            <sz val="9"/>
            <color indexed="81"/>
            <rFont val="Tahoma"/>
            <family val="2"/>
          </rPr>
          <t>Enter the total amount of C teams your school has entered ito competitions this year.</t>
        </r>
      </text>
    </comment>
    <comment ref="C45" authorId="1" shapeId="0">
      <text>
        <r>
          <rPr>
            <b/>
            <sz val="9"/>
            <color indexed="81"/>
            <rFont val="Tahoma"/>
            <family val="2"/>
          </rPr>
          <t>Select Yes or No</t>
        </r>
        <r>
          <rPr>
            <sz val="9"/>
            <color indexed="81"/>
            <rFont val="Tahoma"/>
            <family val="2"/>
          </rPr>
          <t xml:space="preserve">
</t>
        </r>
      </text>
    </comment>
    <comment ref="C48" authorId="1" shapeId="0">
      <text>
        <r>
          <rPr>
            <b/>
            <sz val="9"/>
            <color indexed="81"/>
            <rFont val="Tahoma"/>
            <family val="2"/>
          </rPr>
          <t>Select Yes or No</t>
        </r>
        <r>
          <rPr>
            <sz val="9"/>
            <color indexed="81"/>
            <rFont val="Tahoma"/>
            <family val="2"/>
          </rPr>
          <t xml:space="preserve">
</t>
        </r>
      </text>
    </comment>
    <comment ref="C49" authorId="1" shapeId="0">
      <text>
        <r>
          <rPr>
            <b/>
            <sz val="9"/>
            <color indexed="81"/>
            <rFont val="Tahoma"/>
            <family val="2"/>
          </rPr>
          <t>Select Yes or No</t>
        </r>
        <r>
          <rPr>
            <sz val="9"/>
            <color indexed="81"/>
            <rFont val="Tahoma"/>
            <family val="2"/>
          </rPr>
          <t xml:space="preserve">
</t>
        </r>
      </text>
    </comment>
    <comment ref="C51" authorId="1" shapeId="0">
      <text>
        <r>
          <rPr>
            <b/>
            <sz val="9"/>
            <color indexed="81"/>
            <rFont val="Tahoma"/>
            <family val="2"/>
          </rPr>
          <t>Select Yes or No</t>
        </r>
        <r>
          <rPr>
            <sz val="9"/>
            <color indexed="81"/>
            <rFont val="Tahoma"/>
            <family val="2"/>
          </rPr>
          <t xml:space="preserve">
</t>
        </r>
      </text>
    </comment>
    <comment ref="C52" authorId="1" shapeId="0">
      <text>
        <r>
          <rPr>
            <b/>
            <sz val="9"/>
            <color indexed="81"/>
            <rFont val="Tahoma"/>
            <family val="2"/>
          </rPr>
          <t>Select Yes or No</t>
        </r>
        <r>
          <rPr>
            <sz val="9"/>
            <color indexed="81"/>
            <rFont val="Tahoma"/>
            <family val="2"/>
          </rPr>
          <t xml:space="preserve">
</t>
        </r>
      </text>
    </comment>
    <comment ref="C55" authorId="1" shapeId="0">
      <text>
        <r>
          <rPr>
            <b/>
            <sz val="9"/>
            <color indexed="81"/>
            <rFont val="Tahoma"/>
            <family val="2"/>
          </rPr>
          <t>Input the number of of local providers you have links with here</t>
        </r>
        <r>
          <rPr>
            <sz val="9"/>
            <color indexed="81"/>
            <rFont val="Tahoma"/>
            <family val="2"/>
          </rPr>
          <t xml:space="preserve">
</t>
        </r>
      </text>
    </comment>
  </commentList>
</comments>
</file>

<file path=xl/comments2.xml><?xml version="1.0" encoding="utf-8"?>
<comments xmlns="http://schemas.openxmlformats.org/spreadsheetml/2006/main">
  <authors>
    <author>Leon Carter</author>
  </authors>
  <commentList>
    <comment ref="C4" authorId="0" shapeId="0">
      <text>
        <r>
          <rPr>
            <sz val="9"/>
            <color indexed="81"/>
            <rFont val="Tahoma"/>
            <family val="2"/>
          </rPr>
          <t>Type your school name in this cell.</t>
        </r>
      </text>
    </comment>
    <comment ref="C5" authorId="0" shapeId="0">
      <text>
        <r>
          <rPr>
            <sz val="9"/>
            <color indexed="81"/>
            <rFont val="Tahoma"/>
            <family val="2"/>
          </rPr>
          <t>Input the amount of KS1 children in this cell.</t>
        </r>
      </text>
    </comment>
    <comment ref="C20" authorId="0" shapeId="0">
      <text>
        <r>
          <rPr>
            <sz val="9"/>
            <color indexed="81"/>
            <rFont val="Tahoma"/>
            <family val="2"/>
          </rPr>
          <t>Input the amount of KS2 children in this cell.</t>
        </r>
      </text>
    </comment>
  </commentList>
</comments>
</file>

<file path=xl/comments3.xml><?xml version="1.0" encoding="utf-8"?>
<comments xmlns="http://schemas.openxmlformats.org/spreadsheetml/2006/main">
  <authors>
    <author>Henry Mclaughlin</author>
  </authors>
  <commentList>
    <comment ref="Q1" authorId="0" shapeId="0">
      <text>
        <r>
          <rPr>
            <sz val="9"/>
            <color indexed="81"/>
            <rFont val="Tahoma"/>
            <family val="2"/>
          </rPr>
          <t xml:space="preserve">To add more, select columns P to BI and right-click and select 'Unhide'
</t>
        </r>
      </text>
    </comment>
    <comment ref="BO1" authorId="0" shapeId="0">
      <text>
        <r>
          <rPr>
            <sz val="9"/>
            <color indexed="81"/>
            <rFont val="Tahoma"/>
            <family val="2"/>
          </rPr>
          <t>To add more, select columns BO to DH and right-click and select 'Unhide'</t>
        </r>
        <r>
          <rPr>
            <b/>
            <sz val="9"/>
            <color indexed="81"/>
            <rFont val="Tahoma"/>
            <family val="2"/>
          </rPr>
          <t xml:space="preserve">
</t>
        </r>
      </text>
    </comment>
    <comment ref="DM1" authorId="0" shapeId="0">
      <text>
        <r>
          <rPr>
            <sz val="9"/>
            <color indexed="81"/>
            <rFont val="Tahoma"/>
            <family val="2"/>
          </rPr>
          <t xml:space="preserve">To add more, select columns DN to FG and right-click and select 'Unhide'
</t>
        </r>
      </text>
    </comment>
    <comment ref="FK1" authorId="0" shapeId="0">
      <text>
        <r>
          <rPr>
            <sz val="9"/>
            <color indexed="81"/>
            <rFont val="Tahoma"/>
            <family val="2"/>
          </rPr>
          <t>To add more, select columns FM to HF and right-click and select 'Unhide'</t>
        </r>
      </text>
    </comment>
  </commentList>
</comments>
</file>

<file path=xl/comments4.xml><?xml version="1.0" encoding="utf-8"?>
<comments xmlns="http://schemas.openxmlformats.org/spreadsheetml/2006/main">
  <authors>
    <author>Henry Mclaughlin</author>
  </authors>
  <commentList>
    <comment ref="Q1" authorId="0" shapeId="0">
      <text>
        <r>
          <rPr>
            <sz val="9"/>
            <color indexed="81"/>
            <rFont val="Tahoma"/>
            <family val="2"/>
          </rPr>
          <t xml:space="preserve">To add more, select columns P to BI and right-click and select 'Unhide'
</t>
        </r>
      </text>
    </comment>
    <comment ref="BO1" authorId="0" shapeId="0">
      <text>
        <r>
          <rPr>
            <sz val="9"/>
            <color indexed="81"/>
            <rFont val="Tahoma"/>
            <family val="2"/>
          </rPr>
          <t>To add more, select columns BO to DH and right-click and select 'Unhide'</t>
        </r>
        <r>
          <rPr>
            <b/>
            <sz val="9"/>
            <color indexed="81"/>
            <rFont val="Tahoma"/>
            <family val="2"/>
          </rPr>
          <t xml:space="preserve">
</t>
        </r>
      </text>
    </comment>
    <comment ref="DM1" authorId="0" shapeId="0">
      <text>
        <r>
          <rPr>
            <sz val="9"/>
            <color indexed="81"/>
            <rFont val="Tahoma"/>
            <family val="2"/>
          </rPr>
          <t xml:space="preserve">To add more, select columns DN to FG and right-click and select 'Unhide'
</t>
        </r>
      </text>
    </comment>
    <comment ref="FK1" authorId="0" shapeId="0">
      <text>
        <r>
          <rPr>
            <sz val="9"/>
            <color indexed="81"/>
            <rFont val="Tahoma"/>
            <family val="2"/>
          </rPr>
          <t>To add more, select columns FM to HF and right-click and select 'Unhide'</t>
        </r>
      </text>
    </comment>
  </commentList>
</comments>
</file>

<file path=xl/comments5.xml><?xml version="1.0" encoding="utf-8"?>
<comments xmlns="http://schemas.openxmlformats.org/spreadsheetml/2006/main">
  <authors>
    <author>Henry Mclaughlin</author>
  </authors>
  <commentList>
    <comment ref="Q1" authorId="0" shapeId="0">
      <text>
        <r>
          <rPr>
            <sz val="9"/>
            <color indexed="81"/>
            <rFont val="Tahoma"/>
            <family val="2"/>
          </rPr>
          <t xml:space="preserve">To add more, select columns P to BI and right-click and select 'Unhide'
</t>
        </r>
      </text>
    </comment>
    <comment ref="BO1" authorId="0" shapeId="0">
      <text>
        <r>
          <rPr>
            <sz val="9"/>
            <color indexed="81"/>
            <rFont val="Tahoma"/>
            <family val="2"/>
          </rPr>
          <t>To add more, select columns BO to DH and right-click and select 'Unhide'</t>
        </r>
        <r>
          <rPr>
            <b/>
            <sz val="9"/>
            <color indexed="81"/>
            <rFont val="Tahoma"/>
            <family val="2"/>
          </rPr>
          <t xml:space="preserve">
</t>
        </r>
      </text>
    </comment>
    <comment ref="DM1" authorId="0" shapeId="0">
      <text>
        <r>
          <rPr>
            <sz val="9"/>
            <color indexed="81"/>
            <rFont val="Tahoma"/>
            <family val="2"/>
          </rPr>
          <t xml:space="preserve">To add more, select columns DN to FG and right-click and select 'Unhide'
</t>
        </r>
      </text>
    </comment>
    <comment ref="FK1" authorId="0" shapeId="0">
      <text>
        <r>
          <rPr>
            <sz val="9"/>
            <color indexed="81"/>
            <rFont val="Tahoma"/>
            <family val="2"/>
          </rPr>
          <t>To add more, select columns FM to HF and right-click and select 'Unhide'</t>
        </r>
      </text>
    </comment>
  </commentList>
</comments>
</file>

<file path=xl/comments6.xml><?xml version="1.0" encoding="utf-8"?>
<comments xmlns="http://schemas.openxmlformats.org/spreadsheetml/2006/main">
  <authors>
    <author>Henry Mclaughlin</author>
  </authors>
  <commentList>
    <comment ref="Q1" authorId="0" shapeId="0">
      <text>
        <r>
          <rPr>
            <sz val="9"/>
            <color indexed="81"/>
            <rFont val="Tahoma"/>
            <family val="2"/>
          </rPr>
          <t xml:space="preserve">To add more, select columns P to BI and right-click and select 'Unhide'
</t>
        </r>
      </text>
    </comment>
    <comment ref="BO1" authorId="0" shapeId="0">
      <text>
        <r>
          <rPr>
            <sz val="9"/>
            <color indexed="81"/>
            <rFont val="Tahoma"/>
            <family val="2"/>
          </rPr>
          <t>To add more, select columns BO to DH and right-click and select 'Unhide'</t>
        </r>
        <r>
          <rPr>
            <b/>
            <sz val="9"/>
            <color indexed="81"/>
            <rFont val="Tahoma"/>
            <family val="2"/>
          </rPr>
          <t xml:space="preserve">
</t>
        </r>
      </text>
    </comment>
    <comment ref="DM1" authorId="0" shapeId="0">
      <text>
        <r>
          <rPr>
            <sz val="9"/>
            <color indexed="81"/>
            <rFont val="Tahoma"/>
            <family val="2"/>
          </rPr>
          <t xml:space="preserve">To add more, select columns DN to FG and right-click and select 'Unhide'
</t>
        </r>
      </text>
    </comment>
    <comment ref="FK1" authorId="0" shapeId="0">
      <text>
        <r>
          <rPr>
            <sz val="9"/>
            <color indexed="81"/>
            <rFont val="Tahoma"/>
            <family val="2"/>
          </rPr>
          <t>To add more, select columns FM to HF and right-click and select 'Unhide'</t>
        </r>
      </text>
    </comment>
  </commentList>
</comments>
</file>

<file path=xl/comments7.xml><?xml version="1.0" encoding="utf-8"?>
<comments xmlns="http://schemas.openxmlformats.org/spreadsheetml/2006/main">
  <authors>
    <author>Henry Mclaughlin</author>
  </authors>
  <commentList>
    <comment ref="Q1" authorId="0" shapeId="0">
      <text>
        <r>
          <rPr>
            <sz val="9"/>
            <color indexed="81"/>
            <rFont val="Tahoma"/>
            <family val="2"/>
          </rPr>
          <t xml:space="preserve">To add more, select columns P to BI and right-click and select 'Unhide'
</t>
        </r>
      </text>
    </comment>
    <comment ref="BO1" authorId="0" shapeId="0">
      <text>
        <r>
          <rPr>
            <sz val="9"/>
            <color indexed="81"/>
            <rFont val="Tahoma"/>
            <family val="2"/>
          </rPr>
          <t>To add more, select columns BO to DH and right-click and select 'Unhide'</t>
        </r>
        <r>
          <rPr>
            <b/>
            <sz val="9"/>
            <color indexed="81"/>
            <rFont val="Tahoma"/>
            <family val="2"/>
          </rPr>
          <t xml:space="preserve">
</t>
        </r>
      </text>
    </comment>
    <comment ref="DM1" authorId="0" shapeId="0">
      <text>
        <r>
          <rPr>
            <sz val="9"/>
            <color indexed="81"/>
            <rFont val="Tahoma"/>
            <family val="2"/>
          </rPr>
          <t xml:space="preserve">To add more, select columns DN to FG and right-click and select 'Unhide'
</t>
        </r>
      </text>
    </comment>
    <comment ref="FK1" authorId="0" shapeId="0">
      <text>
        <r>
          <rPr>
            <sz val="9"/>
            <color indexed="81"/>
            <rFont val="Tahoma"/>
            <family val="2"/>
          </rPr>
          <t>To add more, select columns FM to HF and right-click and select 'Unhide'</t>
        </r>
      </text>
    </comment>
  </commentList>
</comments>
</file>

<file path=xl/comments8.xml><?xml version="1.0" encoding="utf-8"?>
<comments xmlns="http://schemas.openxmlformats.org/spreadsheetml/2006/main">
  <authors>
    <author>Henry Mclaughlin</author>
  </authors>
  <commentList>
    <comment ref="Q1" authorId="0" shapeId="0">
      <text>
        <r>
          <rPr>
            <sz val="9"/>
            <color indexed="81"/>
            <rFont val="Tahoma"/>
            <family val="2"/>
          </rPr>
          <t xml:space="preserve">To add more, select columns P to BI and right-click and select 'Unhide'
</t>
        </r>
      </text>
    </comment>
    <comment ref="BO1" authorId="0" shapeId="0">
      <text>
        <r>
          <rPr>
            <sz val="9"/>
            <color indexed="81"/>
            <rFont val="Tahoma"/>
            <family val="2"/>
          </rPr>
          <t>To add more, select columns BO to DH and right-click and select 'Unhide'</t>
        </r>
        <r>
          <rPr>
            <b/>
            <sz val="9"/>
            <color indexed="81"/>
            <rFont val="Tahoma"/>
            <family val="2"/>
          </rPr>
          <t xml:space="preserve">
</t>
        </r>
      </text>
    </comment>
    <comment ref="DM1" authorId="0" shapeId="0">
      <text>
        <r>
          <rPr>
            <sz val="9"/>
            <color indexed="81"/>
            <rFont val="Tahoma"/>
            <family val="2"/>
          </rPr>
          <t xml:space="preserve">To add more, select columns DN to FG and right-click and select 'Unhide'
</t>
        </r>
      </text>
    </comment>
    <comment ref="FK1" authorId="0" shapeId="0">
      <text>
        <r>
          <rPr>
            <sz val="9"/>
            <color indexed="81"/>
            <rFont val="Tahoma"/>
            <family val="2"/>
          </rPr>
          <t>To add more, select columns FM to HF and right-click and select 'Unhide'</t>
        </r>
      </text>
    </comment>
  </commentList>
</comments>
</file>

<file path=xl/sharedStrings.xml><?xml version="1.0" encoding="utf-8"?>
<sst xmlns="http://schemas.openxmlformats.org/spreadsheetml/2006/main" count="1644" uniqueCount="334">
  <si>
    <t>School Games Mark tracker</t>
  </si>
  <si>
    <t>Name of school:</t>
  </si>
  <si>
    <t>Active Sussex</t>
  </si>
  <si>
    <t>Total children in KS2:</t>
  </si>
  <si>
    <t>In order to to achieve any level of the School Games Mark, schools and educational establishments for the academic year 2018/19 must meet the following prerequisites for young people in years 3-13</t>
  </si>
  <si>
    <t>Increasing engagement in School Games</t>
  </si>
  <si>
    <t xml:space="preserve">Have you registered for the School Games? It takes two minutes, here. </t>
  </si>
  <si>
    <t>No</t>
  </si>
  <si>
    <t>Yes</t>
  </si>
  <si>
    <t>Do you have a system in place to track participation in the School Games?</t>
  </si>
  <si>
    <t>Do you provide tailored opportunities that attract less-active young people to participate in physical activity?</t>
  </si>
  <si>
    <t>Have you completed the Inclusive Health Check tool as accessed on your school's dashboard on www.yourschoolgames.com?</t>
  </si>
  <si>
    <t>Do you have a member of staff who has actively engaged with their School Games Organiser (SGO) as part of your Physical Activity CPD?</t>
  </si>
  <si>
    <t>Have you registered on www.activeschoolplanner.org? It is recommended that this done by they end of the Autumn Term.</t>
  </si>
  <si>
    <t>Have you positioned 'personal challenge' as a key component of your School Games provision?</t>
  </si>
  <si>
    <t>Developing Competitive Opportunities</t>
  </si>
  <si>
    <t>Have you held or accessed a School Games Day that has a clear cultural component as a culmination of a year round competition programme and the date on your dashboard on www.yourschoolgames.com? It is recommended that this is done by the end of Autumn Term.</t>
  </si>
  <si>
    <t>Have you got a calendar that demonstrates opportunities for all young people with SEND and other targeted groups particular to your school (for example BAME, Free School Meals, LGBT, Inactive) to take part in competitions and festivals.</t>
  </si>
  <si>
    <t>Have you got a notice board and/or in house school digital system that promotes School Games activity and uses social media for the same purpose.</t>
  </si>
  <si>
    <t>Have you maximised the School Games Value or your School values to support the competition and festival experience for all young people?</t>
  </si>
  <si>
    <t>Increasing Engagement in School Games</t>
  </si>
  <si>
    <t>We have plans in place to provide all students with two hours of PE, school sport and physical activity per week inclusive of extra curriculum provision</t>
  </si>
  <si>
    <t>We engage at least 20% of pupils (5% for special schools/ PRUs) in extracurricular sporting and physical activity every week</t>
  </si>
  <si>
    <t>Our targeted provision for those identified as less active has take up lower than 10% and/or is not sustained over a term.</t>
  </si>
  <si>
    <t>Select which option applies to your school:</t>
  </si>
  <si>
    <t>We provide all students with two hours of PE, school sport and physical activity per week (made up of curricular and extra curriculum activity)</t>
  </si>
  <si>
    <t>We engage at least 35% of pupils (10% for special schools/PRUs) in extracurricular sporting and physical activity every week</t>
  </si>
  <si>
    <t>Over the course of the academic year we have targeted provision for those least active young people in our school and a minimum take up of at least 10% from those identified as least active at the start of the academic year. This is sustained over a term.</t>
  </si>
  <si>
    <t>We provide all students with two hours of timetabled PE per week (within the curriculum only) and have extra curriculum provision inclusive of physical activity in addition to this</t>
  </si>
  <si>
    <t>We engage at least 50% of pupils (20% for special schools/PRUs) in extracurricular sporting and physical activity every week</t>
  </si>
  <si>
    <t>Over the course of the academic year we have targeted provision for those least active young people in our school and a minimum take up of at least 15% from those identified as least active at the start of the academic year. This is sustained over a term.</t>
  </si>
  <si>
    <t>Personal Challenge / Digital Competition</t>
  </si>
  <si>
    <t>Intra School Sports</t>
  </si>
  <si>
    <t>Inter School Sports</t>
  </si>
  <si>
    <t>'B' Teams</t>
  </si>
  <si>
    <t>'C' Teams</t>
  </si>
  <si>
    <t>Workforce - Broadening The Range of Opportunities</t>
  </si>
  <si>
    <t>Number of young leaders involved in officiating, leading &amp; managing School Games activity</t>
  </si>
  <si>
    <t>Percentage of young leaders</t>
  </si>
  <si>
    <t>First Name</t>
  </si>
  <si>
    <t>Surname</t>
  </si>
  <si>
    <t>Gender</t>
  </si>
  <si>
    <t>EAL</t>
  </si>
  <si>
    <t>SEN</t>
  </si>
  <si>
    <t>Young Leader</t>
  </si>
  <si>
    <t>Club 1</t>
  </si>
  <si>
    <t>Club 2</t>
  </si>
  <si>
    <t>Club 3</t>
  </si>
  <si>
    <t>Club 4</t>
  </si>
  <si>
    <t>Club 5</t>
  </si>
  <si>
    <t>Club 6</t>
  </si>
  <si>
    <t>Challenge 1</t>
  </si>
  <si>
    <t>Challenge 2</t>
  </si>
  <si>
    <t>Challenge 3</t>
  </si>
  <si>
    <t>Challenge 4</t>
  </si>
  <si>
    <t>Challenge 5</t>
  </si>
  <si>
    <t>Challenge 6</t>
  </si>
  <si>
    <t>Total</t>
  </si>
  <si>
    <t>Totals</t>
  </si>
  <si>
    <t>M</t>
  </si>
  <si>
    <t>Orange</t>
  </si>
  <si>
    <t>Example</t>
  </si>
  <si>
    <t>Intra-school sports 1</t>
  </si>
  <si>
    <t>Intra-school sports 2</t>
  </si>
  <si>
    <t>Intra-school sports 3</t>
  </si>
  <si>
    <t>Intra-school sports 4</t>
  </si>
  <si>
    <t>Intra-school sports 5</t>
  </si>
  <si>
    <t>Intra-school sports 6</t>
  </si>
  <si>
    <t>Inter School sports 1</t>
  </si>
  <si>
    <t>Inter School sports 2</t>
  </si>
  <si>
    <t>Inter School sports 3</t>
  </si>
  <si>
    <t>Inter School sports 4</t>
  </si>
  <si>
    <t>Inter School sports 5</t>
  </si>
  <si>
    <t>Inter School sports 6</t>
  </si>
  <si>
    <t>Least active</t>
  </si>
  <si>
    <t>Gold</t>
  </si>
  <si>
    <t>Bronze</t>
  </si>
  <si>
    <t>Silver</t>
  </si>
  <si>
    <t>Intra School Sports - 50 or less KS2</t>
  </si>
  <si>
    <t>Intra School Sports - 51-129 KS2</t>
  </si>
  <si>
    <t>Intra School Sports - 130-499 KS2</t>
  </si>
  <si>
    <t>Intra School Sports - 500+ KS2</t>
  </si>
  <si>
    <t>Inter School Sports - 50 or less KS2</t>
  </si>
  <si>
    <t>Inter School Sports - 51-129 KS2</t>
  </si>
  <si>
    <t>Inter School Sports - 130-499 KS2</t>
  </si>
  <si>
    <t>Inter School Sports - 500+ KS2</t>
  </si>
  <si>
    <t>B' Teams - 50 or less KS2</t>
  </si>
  <si>
    <t>B' Teams - 51-129 KS2</t>
  </si>
  <si>
    <t>B' Teams - 130-499 KS2</t>
  </si>
  <si>
    <t>B' Teams - 500+ KS2</t>
  </si>
  <si>
    <t>C' Teams - 50 or less KS2</t>
  </si>
  <si>
    <t>C' Teams - 51-129 KS2</t>
  </si>
  <si>
    <t>C' Teams - 130-499 KS2</t>
  </si>
  <si>
    <t>C' Teams - 500+ KS2</t>
  </si>
  <si>
    <t>N/A</t>
  </si>
  <si>
    <t>Bronze or Silver</t>
  </si>
  <si>
    <t>Required for at least bronze</t>
  </si>
  <si>
    <t>Number of opportunities
(counted when at least one pupil attends)</t>
  </si>
  <si>
    <t>Total participation for KS2
(Sum of all attendance)</t>
  </si>
  <si>
    <t>Minimum level</t>
  </si>
  <si>
    <t>Use the information above and your knowledge of whether least active pupils have sustained this participation over the term.</t>
  </si>
  <si>
    <t>Number of pupils who have taken part in at least one extracurricular club</t>
  </si>
  <si>
    <t>Total attendances at extracurricular clubs</t>
  </si>
  <si>
    <t>Average attendance at extracurricular clubs per pupil</t>
  </si>
  <si>
    <t>Has every young person been provided with the opportunity to learn to lead through curriculum PE as part of the lesson structure?</t>
  </si>
  <si>
    <t>Is a School Sport Organising Committee or Crew in place that influences provision?</t>
  </si>
  <si>
    <t>Have you utilised sports coaches, volunteers or other providers to support school sport and physical activity devliver that complements your School Games Organiser's (SGO) provision?</t>
  </si>
  <si>
    <t>Have you trained and engaged wider school staff in the delivery of school sport and physical activity?</t>
  </si>
  <si>
    <t>Increasing and Sustaining Participation</t>
  </si>
  <si>
    <t>How many active links does your school have with local community and pathways sport/ physical activity and leisure providers e.g. sport clubs, leisure centres, youth centres etc where the link is a signposting function (posters/assemblies etc) including of two where the relatioship is about the provider delivering taster sessions on site or the school/ educational institute is a partner host site for the activity and young people are actively engaged to attend.</t>
  </si>
  <si>
    <t>Edit the green cells. All other cells are automatically calculated from the information you input on each Year group tab.</t>
  </si>
  <si>
    <t>Have you completed and Activity Heatmap on www.activeschoolplanner.org</t>
  </si>
  <si>
    <t>Can you demonstrate some of the principles of an active school</t>
  </si>
  <si>
    <t>% of pupils engaged in extracurricular clubs</t>
  </si>
  <si>
    <t>% of least active pupils engaged in extracurricular clubs</t>
  </si>
  <si>
    <t xml:space="preserve">Extracurricular Clubs </t>
  </si>
  <si>
    <t>Extracurricular clubs</t>
  </si>
  <si>
    <t>Club 7</t>
  </si>
  <si>
    <t>Inter School sports 7</t>
  </si>
  <si>
    <t>Club 32</t>
  </si>
  <si>
    <t>Club 33</t>
  </si>
  <si>
    <t>Club 34</t>
  </si>
  <si>
    <t>Club 35</t>
  </si>
  <si>
    <t>Club 8</t>
  </si>
  <si>
    <t>Club 9</t>
  </si>
  <si>
    <t>Club 10</t>
  </si>
  <si>
    <t>Club 11</t>
  </si>
  <si>
    <t>Club 12</t>
  </si>
  <si>
    <t>Club 13</t>
  </si>
  <si>
    <t>Club 14</t>
  </si>
  <si>
    <t>Club 15</t>
  </si>
  <si>
    <t>Club 16</t>
  </si>
  <si>
    <t>Club 17</t>
  </si>
  <si>
    <t>Club 18</t>
  </si>
  <si>
    <t>Club 19</t>
  </si>
  <si>
    <t>Club 20</t>
  </si>
  <si>
    <t>Club 21</t>
  </si>
  <si>
    <t>Club 22</t>
  </si>
  <si>
    <t>Club 23</t>
  </si>
  <si>
    <t>Club 24</t>
  </si>
  <si>
    <t>Club 25</t>
  </si>
  <si>
    <t>Club 26</t>
  </si>
  <si>
    <t>Club 27</t>
  </si>
  <si>
    <t>Club 28</t>
  </si>
  <si>
    <t>Club 29</t>
  </si>
  <si>
    <t>Club 30</t>
  </si>
  <si>
    <t>Club 31</t>
  </si>
  <si>
    <t>Club 36</t>
  </si>
  <si>
    <t>Club 37</t>
  </si>
  <si>
    <t>Club 38</t>
  </si>
  <si>
    <t>Club 39</t>
  </si>
  <si>
    <t>Club 40</t>
  </si>
  <si>
    <t>Club 41</t>
  </si>
  <si>
    <t>Club 42</t>
  </si>
  <si>
    <t>Club 43</t>
  </si>
  <si>
    <t>Club 44</t>
  </si>
  <si>
    <t>Club 45</t>
  </si>
  <si>
    <t>Club 46</t>
  </si>
  <si>
    <t>Club 47</t>
  </si>
  <si>
    <t>Club 48</t>
  </si>
  <si>
    <t>Club 49</t>
  </si>
  <si>
    <t>Club 50</t>
  </si>
  <si>
    <t>Challenge 7</t>
  </si>
  <si>
    <t>Challenge 8</t>
  </si>
  <si>
    <t>Challenge 9</t>
  </si>
  <si>
    <t>Challenge 10</t>
  </si>
  <si>
    <t>Challenge 11</t>
  </si>
  <si>
    <t>Challenge 12</t>
  </si>
  <si>
    <t>Challenge 13</t>
  </si>
  <si>
    <t>Challenge 14</t>
  </si>
  <si>
    <t>Challenge 15</t>
  </si>
  <si>
    <t>Challenge 16</t>
  </si>
  <si>
    <t>Challenge 17</t>
  </si>
  <si>
    <t>Challenge 18</t>
  </si>
  <si>
    <t>Challenge 19</t>
  </si>
  <si>
    <t>Challenge 20</t>
  </si>
  <si>
    <t>Challenge 21</t>
  </si>
  <si>
    <t>Challenge 22</t>
  </si>
  <si>
    <t>Challenge 23</t>
  </si>
  <si>
    <t>Challenge 24</t>
  </si>
  <si>
    <t>Challenge 25</t>
  </si>
  <si>
    <t>Challenge 26</t>
  </si>
  <si>
    <t>Challenge 27</t>
  </si>
  <si>
    <t>Challenge 28</t>
  </si>
  <si>
    <t>Challenge 29</t>
  </si>
  <si>
    <t>Challenge 30</t>
  </si>
  <si>
    <t>Challenge 31</t>
  </si>
  <si>
    <t>Challenge 32</t>
  </si>
  <si>
    <t>Challenge 33</t>
  </si>
  <si>
    <t>Challenge 34</t>
  </si>
  <si>
    <t>Challenge 35</t>
  </si>
  <si>
    <t>Challenge 36</t>
  </si>
  <si>
    <t>Challenge 37</t>
  </si>
  <si>
    <t>Challenge 38</t>
  </si>
  <si>
    <t>Challenge 39</t>
  </si>
  <si>
    <t>Challenge 40</t>
  </si>
  <si>
    <t>Challenge 41</t>
  </si>
  <si>
    <t>Challenge 42</t>
  </si>
  <si>
    <t>Challenge 43</t>
  </si>
  <si>
    <t>Challenge 44</t>
  </si>
  <si>
    <t>Challenge 45</t>
  </si>
  <si>
    <t>Challenge 46</t>
  </si>
  <si>
    <t>Challenge 47</t>
  </si>
  <si>
    <t>Challenge 48</t>
  </si>
  <si>
    <t>Challenge 49</t>
  </si>
  <si>
    <t>Challenge 50</t>
  </si>
  <si>
    <t>Intra-school sports 7</t>
  </si>
  <si>
    <t>Intra-school sports 8</t>
  </si>
  <si>
    <t>Intra-school sports 9</t>
  </si>
  <si>
    <t>Intra-school sports 10</t>
  </si>
  <si>
    <t>Intra-school sports 11</t>
  </si>
  <si>
    <t>Intra-school sports 12</t>
  </si>
  <si>
    <t>Intra-school sports 13</t>
  </si>
  <si>
    <t>Intra-school sports 14</t>
  </si>
  <si>
    <t>Intra-school sports 15</t>
  </si>
  <si>
    <t>Intra-school sports 16</t>
  </si>
  <si>
    <t>Intra-school sports 17</t>
  </si>
  <si>
    <t>Intra-school sports 18</t>
  </si>
  <si>
    <t>Intra-school sports 19</t>
  </si>
  <si>
    <t>Intra-school sports 20</t>
  </si>
  <si>
    <t>Intra-school sports 21</t>
  </si>
  <si>
    <t>Intra-school sports 22</t>
  </si>
  <si>
    <t>Intra-school sports 23</t>
  </si>
  <si>
    <t>Intra-school sports 24</t>
  </si>
  <si>
    <t>Intra-school sports 25</t>
  </si>
  <si>
    <t>Intra-school sports 26</t>
  </si>
  <si>
    <t>Intra-school sports 27</t>
  </si>
  <si>
    <t>Intra-school sports 28</t>
  </si>
  <si>
    <t>Intra-school sports 29</t>
  </si>
  <si>
    <t>Intra-school sports 30</t>
  </si>
  <si>
    <t>Intra-school sports 31</t>
  </si>
  <si>
    <t>Intra-school sports 32</t>
  </si>
  <si>
    <t>Intra-school sports 33</t>
  </si>
  <si>
    <t>Intra-school sports 34</t>
  </si>
  <si>
    <t>Intra-school sports 35</t>
  </si>
  <si>
    <t>Intra-school sports 36</t>
  </si>
  <si>
    <t>Intra-school sports 37</t>
  </si>
  <si>
    <t>Intra-school sports 38</t>
  </si>
  <si>
    <t>Intra-school sports 39</t>
  </si>
  <si>
    <t>Intra-school sports 40</t>
  </si>
  <si>
    <t>Intra-school sports 41</t>
  </si>
  <si>
    <t>Intra-school sports 42</t>
  </si>
  <si>
    <t>Intra-school sports 43</t>
  </si>
  <si>
    <t>Intra-school sports 44</t>
  </si>
  <si>
    <t>Intra-school sports 45</t>
  </si>
  <si>
    <t>Intra-school sports 46</t>
  </si>
  <si>
    <t>Intra-school sports 47</t>
  </si>
  <si>
    <t>Intra-school sports 48</t>
  </si>
  <si>
    <t>Intra-school sports 49</t>
  </si>
  <si>
    <t>Intra-school sports 50</t>
  </si>
  <si>
    <t>Inter School sports 8</t>
  </si>
  <si>
    <t>Inter School sports 9</t>
  </si>
  <si>
    <t>Inter School sports 10</t>
  </si>
  <si>
    <t>Inter School sports 11</t>
  </si>
  <si>
    <t>Inter School sports 12</t>
  </si>
  <si>
    <t>Inter School sports 13</t>
  </si>
  <si>
    <t>Inter School sports 14</t>
  </si>
  <si>
    <t>Inter School sports 15</t>
  </si>
  <si>
    <t>Inter School sports 16</t>
  </si>
  <si>
    <t>Inter School sports 17</t>
  </si>
  <si>
    <t>Inter School sports 18</t>
  </si>
  <si>
    <t>Inter School sports 19</t>
  </si>
  <si>
    <t>Inter School sports 20</t>
  </si>
  <si>
    <t>Inter School sports 21</t>
  </si>
  <si>
    <t>Inter School sports 22</t>
  </si>
  <si>
    <t>Inter School sports 23</t>
  </si>
  <si>
    <t>Inter School sports 24</t>
  </si>
  <si>
    <t>Inter School sports 25</t>
  </si>
  <si>
    <t>Inter School sports 26</t>
  </si>
  <si>
    <t>Inter School sports 27</t>
  </si>
  <si>
    <t>Inter School sports 28</t>
  </si>
  <si>
    <t>Inter School sports 29</t>
  </si>
  <si>
    <t>Inter School sports 30</t>
  </si>
  <si>
    <t>Inter School sports 31</t>
  </si>
  <si>
    <t>Inter School sports 32</t>
  </si>
  <si>
    <t>Inter School sports 33</t>
  </si>
  <si>
    <t>Inter School sports 34</t>
  </si>
  <si>
    <t>Inter School sports 35</t>
  </si>
  <si>
    <t>Inter School sports 36</t>
  </si>
  <si>
    <t>Inter School sports 37</t>
  </si>
  <si>
    <t>Inter School sports 38</t>
  </si>
  <si>
    <t>Inter School sports 39</t>
  </si>
  <si>
    <t>Inter School sports 40</t>
  </si>
  <si>
    <t>Inter School sports 41</t>
  </si>
  <si>
    <t>Inter School sports 42</t>
  </si>
  <si>
    <t>Inter School sports 43</t>
  </si>
  <si>
    <t>Inter School sports 44</t>
  </si>
  <si>
    <t>Inter School sports 45</t>
  </si>
  <si>
    <t>Inter School sports 46</t>
  </si>
  <si>
    <t>Inter School sports 47</t>
  </si>
  <si>
    <t>Inter School sports 48</t>
  </si>
  <si>
    <t>Inter School sports 49</t>
  </si>
  <si>
    <t>Inter School sports 50</t>
  </si>
  <si>
    <t>Number of least active children identified</t>
  </si>
  <si>
    <t>Number of least active children who have taken up at least one opportunity</t>
  </si>
  <si>
    <t>% of least active children who have taken up at least one opportunity</t>
  </si>
  <si>
    <r>
      <t>KS1</t>
    </r>
    <r>
      <rPr>
        <sz val="11"/>
        <color theme="1"/>
        <rFont val="Calibri"/>
        <family val="2"/>
        <scheme val="minor"/>
      </rPr>
      <t xml:space="preserve"> pupils participating in at least one:</t>
    </r>
  </si>
  <si>
    <t>Boys</t>
  </si>
  <si>
    <t>Girls</t>
  </si>
  <si>
    <r>
      <t>KS2</t>
    </r>
    <r>
      <rPr>
        <sz val="11"/>
        <color theme="1"/>
        <rFont val="Calibri"/>
        <family val="2"/>
        <scheme val="minor"/>
      </rPr>
      <t xml:space="preserve"> pupils participating in at least one:</t>
    </r>
  </si>
  <si>
    <t>Total children in KS1:</t>
  </si>
  <si>
    <r>
      <t>All</t>
    </r>
    <r>
      <rPr>
        <sz val="11"/>
        <color theme="1"/>
        <rFont val="Calibri"/>
        <family val="2"/>
        <scheme val="minor"/>
      </rPr>
      <t xml:space="preserve"> pupils participating in at least one:</t>
    </r>
  </si>
  <si>
    <t>Personal Challenge / Virtual Competition</t>
  </si>
  <si>
    <t>Tracker</t>
  </si>
  <si>
    <t>Community Club</t>
  </si>
  <si>
    <t>FSM / Pupil Premium</t>
  </si>
  <si>
    <t>Community Clubs</t>
  </si>
  <si>
    <t>Community club (type name of club(s). All clubs will count as '1'</t>
  </si>
  <si>
    <t>% Personal Challenge/ Virtual Competition</t>
  </si>
  <si>
    <t>% Community Club</t>
  </si>
  <si>
    <t>Group</t>
  </si>
  <si>
    <t>F</t>
  </si>
  <si>
    <t>All of KS1</t>
  </si>
  <si>
    <t>All KS1 + KS2 pupils</t>
  </si>
  <si>
    <t>All of KS2</t>
  </si>
  <si>
    <t>Input all of your pupils details in the table below. These will feed the Tracker sheet.</t>
  </si>
  <si>
    <t>FSM / PP</t>
  </si>
  <si>
    <t>Class Name</t>
  </si>
  <si>
    <t>Total Challenges</t>
  </si>
  <si>
    <t>Total Ex-C Clubs</t>
  </si>
  <si>
    <t>Total Intra-School Sports</t>
  </si>
  <si>
    <t>Total Inter-School Sports</t>
  </si>
  <si>
    <t>Active Opportunity</t>
  </si>
  <si>
    <t>Intra-School Sports</t>
  </si>
  <si>
    <t>Inter-School Sports</t>
  </si>
  <si>
    <t>Extra-Curricular Club</t>
  </si>
  <si>
    <t>% Extra-Curricular Club</t>
  </si>
  <si>
    <t>Intra-School Comp</t>
  </si>
  <si>
    <t>% Intra-School Comp</t>
  </si>
  <si>
    <t>Inter-School Comp</t>
  </si>
  <si>
    <t>% Inter-School Comp</t>
  </si>
  <si>
    <t>% Active Opportunity</t>
  </si>
  <si>
    <t>Ethnically Diverse</t>
  </si>
  <si>
    <t>Football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</si>
</sst>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0"/>
      <name val="Calibri"/>
      <family val="2"/>
      <scheme val="minor"/>
    </font>
    <font>
      <sz val="11"/>
      <name val="Calibri"/>
      <family val="2"/>
      <scheme val="minor"/>
    </font>
    <font>
      <sz val="9"/>
      <color indexed="81"/>
      <name val="Tahoma"/>
      <family val="2"/>
    </font>
    <font>
      <b/>
      <sz val="11"/>
      <name val="Calibri"/>
      <family val="2"/>
      <scheme val="minor"/>
    </font>
    <font>
      <b/>
      <sz val="11"/>
      <color theme="1" tint="4.9989318521683403E-2"/>
      <name val="Calibri"/>
      <family val="2"/>
      <scheme val="minor"/>
    </font>
    <font>
      <sz val="11"/>
      <color theme="1" tint="4.9989318521683403E-2"/>
      <name val="Calibri"/>
      <family val="2"/>
      <scheme val="minor"/>
    </font>
    <font>
      <b/>
      <sz val="10"/>
      <color theme="0"/>
      <name val="Calibri"/>
      <family val="2"/>
      <scheme val="minor"/>
    </font>
    <font>
      <sz val="11"/>
      <color rgb="FFFF0000"/>
      <name val="Calibri"/>
      <family val="2"/>
      <scheme val="minor"/>
    </font>
    <font>
      <b/>
      <sz val="9"/>
      <color indexed="81"/>
      <name val="Tahoma"/>
      <family val="2"/>
    </font>
    <font>
      <b/>
      <sz val="11"/>
      <color theme="1"/>
      <name val="Calibri"/>
      <scheme val="minor"/>
    </font>
    <font>
      <sz val="8"/>
      <name val="Calibri"/>
      <family val="2"/>
      <scheme val="minor"/>
    </font>
  </fonts>
  <fills count="1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7030A0"/>
        <bgColor indexed="64"/>
      </patternFill>
    </fill>
    <fill>
      <patternFill patternType="solid">
        <fgColor theme="7" tint="-0.249977111117893"/>
        <bgColor indexed="64"/>
      </patternFill>
    </fill>
    <fill>
      <patternFill patternType="solid">
        <fgColor theme="2"/>
        <bgColor indexed="64"/>
      </patternFill>
    </fill>
    <fill>
      <patternFill patternType="solid">
        <fgColor theme="0" tint="-0.499984740745262"/>
        <bgColor indexed="64"/>
      </patternFill>
    </fill>
    <fill>
      <patternFill patternType="solid">
        <fgColor rgb="FFFF0000"/>
        <bgColor indexed="64"/>
      </patternFill>
    </fill>
    <fill>
      <patternFill patternType="solid">
        <fgColor theme="5"/>
        <bgColor theme="5"/>
      </patternFill>
    </fill>
    <fill>
      <patternFill patternType="solid">
        <fgColor rgb="FF33993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cellStyleXfs>
  <cellXfs count="150">
    <xf numFmtId="0" fontId="0" fillId="0" borderId="0" xfId="0"/>
    <xf numFmtId="0" fontId="3" fillId="2" borderId="2" xfId="0" applyFont="1" applyFill="1" applyBorder="1"/>
    <xf numFmtId="0" fontId="3" fillId="0" borderId="0" xfId="0" applyFont="1" applyAlignment="1">
      <alignment horizontal="center"/>
    </xf>
    <xf numFmtId="0" fontId="3" fillId="2" borderId="1" xfId="0" applyFont="1" applyFill="1" applyBorder="1"/>
    <xf numFmtId="0" fontId="3" fillId="3" borderId="1" xfId="0" applyFont="1" applyFill="1" applyBorder="1" applyAlignment="1" applyProtection="1">
      <alignment horizontal="center"/>
      <protection locked="0"/>
    </xf>
    <xf numFmtId="0" fontId="2" fillId="4" borderId="0" xfId="0" applyFont="1" applyFill="1"/>
    <xf numFmtId="0" fontId="4" fillId="4" borderId="0" xfId="0" applyFont="1" applyFill="1"/>
    <xf numFmtId="0" fontId="3" fillId="0" borderId="1" xfId="0" applyFont="1" applyBorder="1" applyAlignment="1">
      <alignment horizontal="center"/>
    </xf>
    <xf numFmtId="0" fontId="4" fillId="0" borderId="0" xfId="0" applyFont="1"/>
    <xf numFmtId="0" fontId="3" fillId="0" borderId="1" xfId="0" applyFont="1" applyBorder="1" applyAlignment="1">
      <alignment horizontal="center" vertical="center"/>
    </xf>
    <xf numFmtId="0" fontId="7" fillId="0" borderId="0" xfId="0" applyFont="1"/>
    <xf numFmtId="0" fontId="3" fillId="2" borderId="1" xfId="0" applyFont="1" applyFill="1" applyBorder="1" applyAlignment="1">
      <alignment horizontal="left"/>
    </xf>
    <xf numFmtId="0" fontId="0" fillId="5" borderId="0" xfId="0" applyFill="1"/>
    <xf numFmtId="0" fontId="0" fillId="6" borderId="0" xfId="0" applyFill="1"/>
    <xf numFmtId="0" fontId="4" fillId="5" borderId="0" xfId="0" applyFont="1" applyFill="1"/>
    <xf numFmtId="0" fontId="10" fillId="8" borderId="0" xfId="0" applyFont="1" applyFill="1" applyAlignment="1">
      <alignment horizontal="center" vertical="center" wrapText="1"/>
    </xf>
    <xf numFmtId="0" fontId="10" fillId="8" borderId="0" xfId="0" applyFont="1" applyFill="1" applyAlignment="1">
      <alignment horizontal="center" vertical="center" textRotation="90" wrapText="1"/>
    </xf>
    <xf numFmtId="0" fontId="10" fillId="0" borderId="0" xfId="0" applyFont="1" applyAlignment="1">
      <alignment horizontal="center" vertical="center" wrapText="1"/>
    </xf>
    <xf numFmtId="0" fontId="11" fillId="0" borderId="0" xfId="0" applyFont="1"/>
    <xf numFmtId="0" fontId="3" fillId="0" borderId="0" xfId="0" applyFont="1"/>
    <xf numFmtId="0" fontId="3" fillId="7" borderId="0" xfId="0" applyFont="1" applyFill="1"/>
    <xf numFmtId="0" fontId="10" fillId="0" borderId="0" xfId="0" applyFont="1"/>
    <xf numFmtId="0" fontId="11" fillId="0" borderId="0" xfId="0" applyFont="1" applyAlignment="1">
      <alignment horizontal="center" vertical="center" wrapText="1"/>
    </xf>
    <xf numFmtId="0" fontId="12" fillId="4" borderId="0" xfId="0" applyFont="1" applyFill="1" applyAlignment="1">
      <alignment horizontal="center" vertical="center" textRotation="90" wrapText="1"/>
    </xf>
    <xf numFmtId="0" fontId="12" fillId="10" borderId="0" xfId="0" applyFont="1" applyFill="1" applyAlignment="1">
      <alignment horizontal="center" vertical="center" textRotation="90"/>
    </xf>
    <xf numFmtId="0" fontId="12" fillId="10" borderId="0" xfId="0" applyFont="1" applyFill="1" applyAlignment="1">
      <alignment horizontal="center" vertical="center" textRotation="90" wrapText="1"/>
    </xf>
    <xf numFmtId="0" fontId="12" fillId="9" borderId="0" xfId="0" applyFont="1" applyFill="1" applyAlignment="1">
      <alignment horizontal="center" vertical="center" textRotation="90" wrapText="1"/>
    </xf>
    <xf numFmtId="0" fontId="12" fillId="11" borderId="0" xfId="0" applyFont="1" applyFill="1" applyAlignment="1">
      <alignment horizontal="center" vertical="center" textRotation="90" wrapText="1"/>
    </xf>
    <xf numFmtId="0" fontId="2" fillId="4" borderId="0" xfId="0" applyFont="1" applyFill="1" applyAlignment="1">
      <alignment vertical="center"/>
    </xf>
    <xf numFmtId="0" fontId="10" fillId="5" borderId="1" xfId="0" applyFont="1" applyFill="1" applyBorder="1" applyAlignment="1">
      <alignment horizontal="center"/>
    </xf>
    <xf numFmtId="0" fontId="0" fillId="0" borderId="0" xfId="0" quotePrefix="1"/>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0" fillId="2" borderId="1" xfId="0" applyFill="1" applyBorder="1" applyAlignment="1">
      <alignment vertical="center"/>
    </xf>
    <xf numFmtId="0" fontId="13" fillId="0" borderId="0" xfId="0" applyFont="1"/>
    <xf numFmtId="0" fontId="3" fillId="0" borderId="7" xfId="0" applyFont="1" applyBorder="1" applyAlignment="1">
      <alignment horizontal="center" vertical="center"/>
    </xf>
    <xf numFmtId="0" fontId="0" fillId="2" borderId="7" xfId="0" applyFill="1" applyBorder="1" applyAlignment="1">
      <alignment vertical="center"/>
    </xf>
    <xf numFmtId="0" fontId="0" fillId="2" borderId="2" xfId="0" applyFill="1" applyBorder="1" applyAlignment="1">
      <alignment vertical="center"/>
    </xf>
    <xf numFmtId="0" fontId="3" fillId="12" borderId="1" xfId="0" applyFont="1" applyFill="1" applyBorder="1" applyAlignment="1" applyProtection="1">
      <alignment horizontal="center" vertical="center" wrapText="1"/>
      <protection locked="0"/>
    </xf>
    <xf numFmtId="9" fontId="3" fillId="12" borderId="1" xfId="1" applyFont="1" applyFill="1" applyBorder="1" applyAlignment="1" applyProtection="1">
      <alignment horizontal="center" vertical="center" wrapText="1"/>
      <protection locked="0"/>
    </xf>
    <xf numFmtId="0" fontId="0" fillId="2" borderId="5"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3" fillId="12" borderId="2" xfId="0" applyFont="1" applyFill="1" applyBorder="1" applyAlignment="1" applyProtection="1">
      <alignment horizontal="center" vertical="center" wrapText="1"/>
      <protection locked="0"/>
    </xf>
    <xf numFmtId="0" fontId="0" fillId="2" borderId="11" xfId="0" applyFill="1" applyBorder="1" applyAlignment="1">
      <alignment vertical="center"/>
    </xf>
    <xf numFmtId="0" fontId="3" fillId="0" borderId="11" xfId="0" applyFont="1" applyBorder="1" applyAlignment="1">
      <alignment horizontal="center" vertical="center"/>
    </xf>
    <xf numFmtId="1" fontId="3" fillId="12" borderId="1" xfId="3" applyNumberFormat="1" applyFont="1" applyFill="1" applyBorder="1" applyAlignment="1" applyProtection="1">
      <alignment horizontal="center" vertical="center" wrapText="1"/>
      <protection locked="0"/>
    </xf>
    <xf numFmtId="0" fontId="0" fillId="2" borderId="11" xfId="0" applyFill="1" applyBorder="1" applyAlignment="1">
      <alignment horizontal="left" vertical="center" wrapText="1"/>
    </xf>
    <xf numFmtId="0" fontId="3" fillId="3" borderId="11" xfId="0" applyFont="1" applyFill="1" applyBorder="1" applyAlignment="1" applyProtection="1">
      <alignment horizontal="center"/>
      <protection locked="0"/>
    </xf>
    <xf numFmtId="0" fontId="3" fillId="0" borderId="11" xfId="0" applyFont="1" applyBorder="1" applyAlignment="1">
      <alignment horizontal="center"/>
    </xf>
    <xf numFmtId="0" fontId="13" fillId="5" borderId="0" xfId="0" applyFont="1" applyFill="1"/>
    <xf numFmtId="0" fontId="0" fillId="2" borderId="1" xfId="0" applyFill="1" applyBorder="1" applyAlignment="1">
      <alignment horizontal="left" vertical="center"/>
    </xf>
    <xf numFmtId="0" fontId="3" fillId="0" borderId="1" xfId="0" applyFont="1" applyBorder="1" applyAlignment="1">
      <alignment horizontal="center" vertical="center" wrapText="1"/>
    </xf>
    <xf numFmtId="0" fontId="9" fillId="12" borderId="1" xfId="0" applyFont="1" applyFill="1" applyBorder="1"/>
    <xf numFmtId="1" fontId="10" fillId="12" borderId="1" xfId="1" applyNumberFormat="1" applyFont="1" applyFill="1" applyBorder="1" applyAlignment="1" applyProtection="1"/>
    <xf numFmtId="0" fontId="10" fillId="12" borderId="1" xfId="0" applyFont="1" applyFill="1" applyBorder="1"/>
    <xf numFmtId="0" fontId="3" fillId="3" borderId="1" xfId="0" applyFont="1" applyFill="1" applyBorder="1" applyAlignment="1" applyProtection="1">
      <alignment horizontal="center" vertical="center"/>
      <protection locked="0"/>
    </xf>
    <xf numFmtId="0" fontId="0" fillId="12" borderId="1" xfId="0" applyFill="1" applyBorder="1"/>
    <xf numFmtId="0" fontId="3" fillId="12" borderId="1" xfId="0" applyFont="1" applyFill="1" applyBorder="1" applyAlignment="1">
      <alignment horizontal="center"/>
    </xf>
    <xf numFmtId="9" fontId="3" fillId="12" borderId="1" xfId="1" applyFont="1" applyFill="1" applyBorder="1" applyAlignment="1" applyProtection="1">
      <alignment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2" fillId="5" borderId="0" xfId="0" applyFont="1" applyFill="1" applyAlignment="1">
      <alignment horizontal="center" vertical="center" wrapText="1"/>
    </xf>
    <xf numFmtId="9" fontId="3" fillId="12" borderId="14" xfId="1" applyFont="1" applyFill="1" applyBorder="1" applyAlignment="1" applyProtection="1">
      <alignment horizontal="center" vertical="center" wrapText="1"/>
      <protection locked="0"/>
    </xf>
    <xf numFmtId="1" fontId="10" fillId="3" borderId="1" xfId="1" applyNumberFormat="1" applyFont="1" applyFill="1" applyBorder="1" applyAlignment="1" applyProtection="1"/>
    <xf numFmtId="0" fontId="0" fillId="0" borderId="0" xfId="0" applyAlignment="1">
      <alignment horizontal="center" vertical="center"/>
    </xf>
    <xf numFmtId="0" fontId="15" fillId="0" borderId="0" xfId="0" applyFont="1"/>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14" borderId="0" xfId="0" applyFont="1" applyFill="1" applyAlignment="1">
      <alignment horizontal="center" vertical="center"/>
    </xf>
    <xf numFmtId="0" fontId="12" fillId="14" borderId="0" xfId="0" applyFont="1" applyFill="1" applyAlignment="1">
      <alignment horizontal="center" vertical="center" textRotation="90" wrapText="1"/>
    </xf>
    <xf numFmtId="0" fontId="2" fillId="14" borderId="0" xfId="0" applyFont="1" applyFill="1" applyAlignment="1">
      <alignment horizontal="center" vertical="center" wrapText="1"/>
    </xf>
    <xf numFmtId="0" fontId="3" fillId="8" borderId="1" xfId="0" applyFont="1" applyFill="1" applyBorder="1"/>
    <xf numFmtId="9" fontId="0" fillId="0" borderId="1" xfId="1"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9" fontId="3" fillId="0" borderId="1" xfId="1" applyFont="1" applyBorder="1" applyAlignment="1">
      <alignment vertical="center" wrapText="1"/>
    </xf>
    <xf numFmtId="0" fontId="2" fillId="15" borderId="1" xfId="0" applyFont="1" applyFill="1" applyBorder="1" applyAlignment="1">
      <alignment horizontal="center" vertical="center" wrapText="1"/>
    </xf>
    <xf numFmtId="0" fontId="12" fillId="16" borderId="0" xfId="0" applyFont="1" applyFill="1" applyAlignment="1">
      <alignment horizontal="center" vertical="center" textRotation="90" wrapText="1"/>
    </xf>
    <xf numFmtId="9" fontId="3" fillId="0" borderId="5" xfId="1" applyFont="1" applyBorder="1" applyAlignment="1">
      <alignment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center" vertical="center" wrapText="1"/>
    </xf>
    <xf numFmtId="0" fontId="3" fillId="7" borderId="0" xfId="0" applyFont="1" applyFill="1" applyAlignment="1">
      <alignment horizontal="center"/>
    </xf>
    <xf numFmtId="0" fontId="10" fillId="0" borderId="0" xfId="0" applyFont="1" applyAlignment="1">
      <alignment horizontal="center"/>
    </xf>
    <xf numFmtId="0" fontId="3" fillId="7" borderId="0" xfId="0" applyFont="1" applyFill="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7" fillId="0" borderId="1" xfId="0" applyFont="1" applyBorder="1" applyAlignment="1">
      <alignment vertical="center" wrapText="1"/>
    </xf>
    <xf numFmtId="9" fontId="7" fillId="0" borderId="1" xfId="1" applyFont="1" applyBorder="1" applyAlignment="1">
      <alignment vertical="center" wrapText="1"/>
    </xf>
    <xf numFmtId="0" fontId="9" fillId="0" borderId="1" xfId="0" applyFont="1" applyBorder="1" applyAlignment="1">
      <alignment vertical="center" wrapText="1"/>
    </xf>
    <xf numFmtId="9" fontId="9" fillId="0" borderId="1" xfId="1" applyFont="1" applyBorder="1" applyAlignment="1">
      <alignment vertical="center" wrapText="1"/>
    </xf>
    <xf numFmtId="9" fontId="9" fillId="0" borderId="5" xfId="1" applyFont="1" applyBorder="1" applyAlignment="1">
      <alignment vertical="center" wrapText="1"/>
    </xf>
    <xf numFmtId="0" fontId="7" fillId="0" borderId="6" xfId="0" applyFont="1" applyBorder="1" applyAlignment="1">
      <alignment vertical="center" wrapText="1"/>
    </xf>
    <xf numFmtId="0" fontId="9" fillId="0" borderId="6" xfId="0" applyFont="1" applyBorder="1" applyAlignment="1">
      <alignment vertical="center" wrapText="1"/>
    </xf>
    <xf numFmtId="0" fontId="9" fillId="2" borderId="0" xfId="0" applyFont="1" applyFill="1" applyAlignment="1">
      <alignment horizontal="center" vertical="center" wrapText="1"/>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6" fillId="2" borderId="5" xfId="2" applyFill="1" applyBorder="1" applyAlignment="1" applyProtection="1">
      <alignment wrapText="1"/>
    </xf>
    <xf numFmtId="0" fontId="6" fillId="2" borderId="6" xfId="2" applyFill="1" applyBorder="1" applyAlignment="1" applyProtection="1"/>
    <xf numFmtId="0" fontId="0" fillId="2" borderId="1" xfId="0" applyFill="1" applyBorder="1" applyAlignment="1">
      <alignment wrapText="1"/>
    </xf>
    <xf numFmtId="0" fontId="0" fillId="2" borderId="1" xfId="0" applyFill="1" applyBorder="1"/>
    <xf numFmtId="0" fontId="13" fillId="5" borderId="15"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0" fillId="13" borderId="7" xfId="0" applyFont="1" applyFill="1" applyBorder="1" applyAlignment="1">
      <alignment horizontal="center"/>
    </xf>
    <xf numFmtId="0" fontId="10" fillId="13" borderId="2" xfId="0" applyFont="1" applyFill="1" applyBorder="1" applyAlignment="1">
      <alignment horizontal="center"/>
    </xf>
    <xf numFmtId="0" fontId="0" fillId="2" borderId="5" xfId="0" applyFill="1" applyBorder="1" applyAlignment="1">
      <alignment horizontal="left"/>
    </xf>
    <xf numFmtId="0" fontId="0" fillId="2" borderId="6" xfId="0" applyFill="1" applyBorder="1" applyAlignment="1">
      <alignment horizontal="left"/>
    </xf>
    <xf numFmtId="0" fontId="5" fillId="0" borderId="0" xfId="0" applyFont="1" applyAlignment="1">
      <alignment horizontal="center" vertical="center"/>
    </xf>
    <xf numFmtId="0" fontId="0" fillId="0" borderId="0" xfId="0"/>
    <xf numFmtId="0" fontId="0" fillId="2" borderId="5" xfId="0" applyFill="1" applyBorder="1" applyAlignment="1">
      <alignment vertical="center"/>
    </xf>
    <xf numFmtId="0" fontId="0" fillId="2" borderId="6" xfId="0" applyFill="1" applyBorder="1" applyAlignment="1">
      <alignment vertical="center"/>
    </xf>
    <xf numFmtId="0" fontId="0" fillId="2" borderId="12" xfId="0" applyFill="1" applyBorder="1" applyAlignment="1">
      <alignment vertical="top" wrapText="1"/>
    </xf>
    <xf numFmtId="0" fontId="0" fillId="2" borderId="13" xfId="0" applyFill="1" applyBorder="1" applyAlignment="1">
      <alignment wrapText="1"/>
    </xf>
    <xf numFmtId="0" fontId="2" fillId="4" borderId="0" xfId="0" applyFont="1" applyFill="1"/>
    <xf numFmtId="0" fontId="3" fillId="3" borderId="12"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1" xfId="0" applyFill="1" applyBorder="1" applyAlignment="1">
      <alignment wrapText="1"/>
    </xf>
    <xf numFmtId="0" fontId="0" fillId="2" borderId="11" xfId="0" applyFill="1" applyBorder="1"/>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10" xfId="0" applyFont="1" applyFill="1" applyBorder="1" applyAlignment="1">
      <alignment horizontal="center" wrapText="1"/>
    </xf>
    <xf numFmtId="0" fontId="3" fillId="0" borderId="0" xfId="0" applyFont="1" applyAlignment="1">
      <alignment vertical="center" wrapText="1"/>
    </xf>
    <xf numFmtId="0" fontId="0" fillId="0" borderId="0" xfId="0" applyAlignment="1">
      <alignment horizontal="center" vertical="center" wrapText="1"/>
    </xf>
    <xf numFmtId="0" fontId="2" fillId="4" borderId="0" xfId="0" applyFont="1" applyFill="1" applyAlignment="1">
      <alignment horizontal="center" vertical="center" wrapText="1"/>
    </xf>
    <xf numFmtId="0" fontId="2" fillId="10" borderId="0" xfId="0" applyFont="1" applyFill="1" applyAlignment="1">
      <alignment horizontal="center" vertical="center" wrapText="1"/>
    </xf>
    <xf numFmtId="0" fontId="2" fillId="10" borderId="0" xfId="0" applyFont="1" applyFill="1" applyAlignment="1">
      <alignment horizontal="center" vertical="center"/>
    </xf>
    <xf numFmtId="0" fontId="2" fillId="9" borderId="0" xfId="0" applyFont="1" applyFill="1" applyAlignment="1">
      <alignment horizontal="center" vertical="center" wrapText="1"/>
    </xf>
    <xf numFmtId="0" fontId="2" fillId="11" borderId="0" xfId="0" applyFont="1" applyFill="1" applyAlignment="1">
      <alignment horizontal="center" vertical="center"/>
    </xf>
  </cellXfs>
  <cellStyles count="4">
    <cellStyle name="Comma" xfId="3" builtinId="3"/>
    <cellStyle name="Hyperlink" xfId="2" builtinId="8"/>
    <cellStyle name="Normal" xfId="0" builtinId="0"/>
    <cellStyle name="Percent" xfId="1" builtinId="5"/>
  </cellStyles>
  <dxfs count="1463">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strike val="0"/>
        <outline val="0"/>
        <shadow val="0"/>
        <u val="none"/>
        <vertAlign val="baseline"/>
        <sz val="11"/>
        <color theme="1" tint="4.9989318521683403E-2"/>
        <name val="Calibri"/>
        <scheme val="minor"/>
      </font>
      <fill>
        <patternFill>
          <fgColor indexed="64"/>
          <bgColor theme="9" tint="0.59999389629810485"/>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strike val="0"/>
        <outline val="0"/>
        <shadow val="0"/>
        <u val="none"/>
        <vertAlign val="baseline"/>
        <sz val="11"/>
        <color theme="1" tint="4.9989318521683403E-2"/>
        <name val="Calibri"/>
        <scheme val="minor"/>
      </font>
      <fill>
        <patternFill>
          <fgColor indexed="64"/>
          <bgColor theme="9" tint="0.59999389629810485"/>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strike val="0"/>
        <outline val="0"/>
        <shadow val="0"/>
        <u val="none"/>
        <vertAlign val="baseline"/>
        <sz val="11"/>
        <color theme="1" tint="4.9989318521683403E-2"/>
        <name val="Calibri"/>
        <scheme val="minor"/>
      </font>
      <fill>
        <patternFill>
          <fgColor indexed="64"/>
          <bgColor theme="9" tint="0.59999389629810485"/>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1"/>
        <color theme="1" tint="4.9989318521683403E-2"/>
        <name val="Calibri"/>
        <scheme val="minor"/>
      </font>
      <fill>
        <patternFill>
          <fgColor indexed="64"/>
          <bgColor theme="9" tint="0.59999389629810485"/>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strike val="0"/>
        <outline val="0"/>
        <shadow val="0"/>
        <u val="none"/>
        <vertAlign val="baseline"/>
        <sz val="11"/>
        <color theme="1" tint="4.9989318521683403E-2"/>
        <name val="Calibri"/>
        <scheme val="minor"/>
      </font>
      <fill>
        <patternFill>
          <fgColor indexed="64"/>
          <bgColor theme="9" tint="0.59999389629810485"/>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ont>
        <b/>
        <i val="0"/>
        <strike val="0"/>
        <condense val="0"/>
        <extend val="0"/>
        <outline val="0"/>
        <shadow val="0"/>
        <u val="none"/>
        <vertAlign val="baseline"/>
        <sz val="11"/>
        <color theme="1"/>
        <name val="Calibri"/>
        <scheme val="minor"/>
      </font>
    </dxf>
    <dxf>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dxf>
    <dxf>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relativeIndent="0" justifyLastLine="0" shrinkToFit="0" readingOrder="0"/>
    </dxf>
    <dxf>
      <font>
        <b/>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font>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alignment textRotation="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strike val="0"/>
        <outline val="0"/>
        <shadow val="0"/>
        <u val="none"/>
        <vertAlign val="baseline"/>
        <sz val="11"/>
        <color theme="1" tint="4.9989318521683403E-2"/>
        <name val="Calibri"/>
        <scheme val="minor"/>
      </font>
      <fill>
        <patternFill>
          <fgColor indexed="64"/>
          <bgColor theme="9" tint="0.59999389629810485"/>
        </patternFill>
      </fill>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right style="thin">
          <color indexed="64"/>
        </right>
        <top style="thin">
          <color indexed="64"/>
        </top>
        <bottom/>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top style="thin">
          <color indexed="64"/>
        </top>
        <bottom/>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right style="thin">
          <color indexed="64"/>
        </right>
        <top style="thin">
          <color indexed="64"/>
        </top>
        <bottom/>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theme="5" tint="-0.24994659260841701"/>
        </patternFill>
      </fill>
    </dxf>
    <dxf>
      <font>
        <color rgb="FF9C0006"/>
      </font>
      <fill>
        <patternFill>
          <bgColor rgb="FFFFC7CE"/>
        </patternFill>
      </fill>
    </dxf>
    <dxf>
      <fill>
        <patternFill>
          <bgColor theme="2" tint="-9.9948118533890809E-2"/>
        </patternFill>
      </fill>
    </dxf>
    <dxf>
      <fill>
        <patternFill>
          <bgColor theme="7"/>
        </patternFill>
      </fill>
    </dxf>
    <dxf>
      <font>
        <b/>
        <i val="0"/>
        <color theme="0"/>
      </font>
      <fill>
        <patternFill>
          <bgColor theme="5" tint="-0.24994659260841701"/>
        </patternFill>
      </fill>
    </dxf>
    <dxf>
      <font>
        <color rgb="FF9C0006"/>
      </font>
      <fill>
        <patternFill>
          <bgColor rgb="FFFFC7CE"/>
        </patternFill>
      </fill>
    </dxf>
    <dxf>
      <fill>
        <patternFill>
          <bgColor theme="2" tint="-9.9948118533890809E-2"/>
        </patternFill>
      </fill>
    </dxf>
    <dxf>
      <fill>
        <patternFill>
          <bgColor theme="7"/>
        </patternFill>
      </fill>
    </dxf>
    <dxf>
      <font>
        <b/>
        <i val="0"/>
        <color theme="0"/>
      </font>
      <fill>
        <patternFill>
          <bgColor theme="5" tint="-0.24994659260841701"/>
        </patternFill>
      </fill>
    </dxf>
    <dxf>
      <font>
        <color rgb="FF9C0006"/>
      </font>
      <fill>
        <patternFill>
          <bgColor rgb="FFFFC7CE"/>
        </patternFill>
      </fill>
    </dxf>
    <dxf>
      <fill>
        <patternFill>
          <bgColor theme="2" tint="-9.9948118533890809E-2"/>
        </patternFill>
      </fill>
    </dxf>
    <dxf>
      <fill>
        <patternFill>
          <bgColor theme="7"/>
        </patternFill>
      </fill>
    </dxf>
    <dxf>
      <font>
        <b/>
        <i val="0"/>
        <color theme="0"/>
      </font>
      <fill>
        <patternFill>
          <bgColor theme="5" tint="-0.24994659260841701"/>
        </patternFill>
      </fill>
    </dxf>
    <dxf>
      <font>
        <color rgb="FF9C0006"/>
      </font>
      <fill>
        <patternFill>
          <bgColor rgb="FFFFC7CE"/>
        </patternFill>
      </fill>
    </dxf>
    <dxf>
      <fill>
        <patternFill>
          <bgColor theme="2" tint="-9.9948118533890809E-2"/>
        </patternFill>
      </fill>
    </dxf>
    <dxf>
      <fill>
        <patternFill>
          <bgColor theme="7"/>
        </patternFill>
      </fill>
    </dxf>
    <dxf>
      <font>
        <b/>
        <i val="0"/>
        <color theme="0"/>
      </font>
      <fill>
        <patternFill>
          <bgColor theme="5" tint="-0.24994659260841701"/>
        </patternFill>
      </fill>
    </dxf>
    <dxf>
      <font>
        <color rgb="FF9C0006"/>
      </font>
      <fill>
        <patternFill>
          <bgColor rgb="FFFFC7CE"/>
        </patternFill>
      </fill>
    </dxf>
    <dxf>
      <fill>
        <patternFill>
          <bgColor theme="2" tint="-9.9948118533890809E-2"/>
        </patternFill>
      </fill>
    </dxf>
    <dxf>
      <fill>
        <patternFill>
          <bgColor theme="7"/>
        </patternFill>
      </fill>
    </dxf>
    <dxf>
      <font>
        <b/>
        <i val="0"/>
        <color theme="0"/>
      </font>
      <fill>
        <patternFill>
          <bgColor theme="5" tint="-0.24994659260841701"/>
        </patternFill>
      </fill>
    </dxf>
    <dxf>
      <font>
        <color rgb="FF9C0006"/>
      </font>
      <fill>
        <patternFill>
          <bgColor rgb="FFFFC7CE"/>
        </patternFill>
      </fill>
    </dxf>
    <dxf>
      <fill>
        <patternFill>
          <bgColor theme="2" tint="-9.9948118533890809E-2"/>
        </patternFill>
      </fill>
    </dxf>
    <dxf>
      <fill>
        <patternFill>
          <bgColor theme="7"/>
        </patternFill>
      </fill>
    </dxf>
    <dxf>
      <font>
        <color rgb="FF9C0006"/>
      </font>
      <fill>
        <patternFill>
          <bgColor rgb="FFFFC7CE"/>
        </patternFill>
      </fill>
    </dxf>
    <dxf>
      <font>
        <b/>
        <i val="0"/>
        <color theme="0"/>
      </font>
      <fill>
        <patternFill>
          <bgColor theme="7" tint="-0.24994659260841701"/>
        </patternFill>
      </fill>
    </dxf>
    <dxf>
      <font>
        <b/>
        <i val="0"/>
      </font>
      <fill>
        <patternFill>
          <bgColor theme="2" tint="-9.9948118533890809E-2"/>
        </patternFill>
      </fill>
    </dxf>
    <dxf>
      <font>
        <b/>
        <i val="0"/>
        <color theme="0"/>
      </font>
      <fill>
        <patternFill>
          <bgColor theme="5" tint="-0.24994659260841701"/>
        </patternFill>
      </fill>
    </dxf>
    <dxf>
      <font>
        <color rgb="FF9C0006"/>
      </font>
      <fill>
        <patternFill>
          <bgColor rgb="FFFFC7CE"/>
        </patternFill>
      </fill>
    </dxf>
    <dxf>
      <fill>
        <patternFill>
          <bgColor theme="2" tint="-9.9948118533890809E-2"/>
        </patternFill>
      </fill>
    </dxf>
    <dxf>
      <fill>
        <patternFill>
          <bgColor theme="7"/>
        </patternFill>
      </fill>
    </dxf>
    <dxf>
      <fill>
        <patternFill>
          <bgColor theme="7"/>
        </patternFill>
      </fill>
    </dxf>
    <dxf>
      <font>
        <color rgb="FF9C0006"/>
      </font>
      <fill>
        <patternFill>
          <bgColor rgb="FFFFC7CE"/>
        </patternFill>
      </fill>
    </dxf>
    <dxf>
      <fill>
        <patternFill>
          <bgColor rgb="FF92D050"/>
        </patternFill>
      </fill>
    </dxf>
  </dxfs>
  <tableStyles count="0" defaultTableStyle="TableStyleMedium2"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47626</xdr:rowOff>
    </xdr:from>
    <xdr:to>
      <xdr:col>0</xdr:col>
      <xdr:colOff>800100</xdr:colOff>
      <xdr:row>0</xdr:row>
      <xdr:rowOff>504826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6"/>
          <a:ext cx="762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895351</xdr:colOff>
      <xdr:row>0</xdr:row>
      <xdr:rowOff>537211</xdr:rowOff>
    </xdr:to>
    <xdr:pic>
      <xdr:nvPicPr>
        <xdr:cNvPr id="2" name="Picture 1">
          <a:extLst>
            <a:ext uri="{FF2B5EF4-FFF2-40B4-BE49-F238E27FC236}">
              <a16:creationId xmlns:a16="http://schemas.microsoft.com/office/drawing/2014/main" id="{8531FB05-4D28-4134-B821-83971E32F4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89535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895351</xdr:colOff>
      <xdr:row>0</xdr:row>
      <xdr:rowOff>537211</xdr:rowOff>
    </xdr:to>
    <xdr:pic>
      <xdr:nvPicPr>
        <xdr:cNvPr id="2" name="Picture 1">
          <a:extLst>
            <a:ext uri="{FF2B5EF4-FFF2-40B4-BE49-F238E27FC236}">
              <a16:creationId xmlns:a16="http://schemas.microsoft.com/office/drawing/2014/main" id="{1FB0DE21-1CB5-4E0B-8EAD-275CF5CB63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89535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895351</xdr:colOff>
      <xdr:row>0</xdr:row>
      <xdr:rowOff>537211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89535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895351</xdr:colOff>
      <xdr:row>0</xdr:row>
      <xdr:rowOff>537211</xdr:rowOff>
    </xdr:to>
    <xdr:pic>
      <xdr:nvPicPr>
        <xdr:cNvPr id="2" name="Picture 1">
          <a:extLst>
            <a:ext uri="{FF2B5EF4-FFF2-40B4-BE49-F238E27FC236}">
              <a16:creationId xmlns:a16="http://schemas.microsoft.com/office/drawing/2014/main" id="{39127484-3953-4361-B85F-08707894E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89535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895351</xdr:colOff>
      <xdr:row>0</xdr:row>
      <xdr:rowOff>537211</xdr:rowOff>
    </xdr:to>
    <xdr:pic>
      <xdr:nvPicPr>
        <xdr:cNvPr id="2" name="Picture 1">
          <a:extLst>
            <a:ext uri="{FF2B5EF4-FFF2-40B4-BE49-F238E27FC236}">
              <a16:creationId xmlns:a16="http://schemas.microsoft.com/office/drawing/2014/main" id="{AC11FDE8-7BC7-4D15-9E8C-B024B88EB2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89535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895351</xdr:colOff>
      <xdr:row>0</xdr:row>
      <xdr:rowOff>537211</xdr:rowOff>
    </xdr:to>
    <xdr:pic>
      <xdr:nvPicPr>
        <xdr:cNvPr id="2" name="Picture 1">
          <a:extLst>
            <a:ext uri="{FF2B5EF4-FFF2-40B4-BE49-F238E27FC236}">
              <a16:creationId xmlns:a16="http://schemas.microsoft.com/office/drawing/2014/main" id="{88DD997D-3340-4B97-9947-A2107BCE6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89535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2" displayName="Table2" ref="B8:N17" headerRowDxfId="1428" dataDxfId="1426" headerRowBorderDxfId="1427" tableBorderDxfId="1425" totalsRowBorderDxfId="1424">
  <autoFilter ref="B8:N17"/>
  <tableColumns count="13">
    <tableColumn id="1" name="Group" totalsRowLabel="All of KS1" dataDxfId="1423" totalsRowDxfId="1422"/>
    <tableColumn id="2" name="Personal Challenge / Virtual Competition" dataDxfId="1421" totalsRowDxfId="1420">
      <calculatedColumnFormula>SUM((COUNTIF(Table1910[Gender],"M")),(COUNTIF(Table19[Gender],"M")),(COUNTIF(Table1[Gender],"M")),(COUNTIF(Table16[Gender],"M")),(COUNTIF(Table167[Gender],"M")),(COUNTIF(Table1678[Gender],"M")))</calculatedColumnFormula>
    </tableColumn>
    <tableColumn id="3" name="% Personal Challenge/ Virtual Competition" dataDxfId="1419" totalsRowDxfId="1418"/>
    <tableColumn id="4" name="Extra-Curricular Club" dataDxfId="1417" totalsRowDxfId="1416"/>
    <tableColumn id="5" name="% Extra-Curricular Club" dataDxfId="1415" totalsRowDxfId="1414"/>
    <tableColumn id="6" name="Intra-School Comp" dataDxfId="1413" totalsRowDxfId="1412"/>
    <tableColumn id="7" name="% Intra-School Comp" dataDxfId="1411" totalsRowDxfId="1410"/>
    <tableColumn id="8" name="Inter-School Comp" dataDxfId="1409" totalsRowDxfId="1408"/>
    <tableColumn id="9" name="% Inter-School Comp" dataDxfId="1407" totalsRowDxfId="1406"/>
    <tableColumn id="10" name="Community Club" dataDxfId="1405" totalsRowDxfId="1404"/>
    <tableColumn id="11" name="% Community Club" dataDxfId="1403" totalsRowDxfId="1402"/>
    <tableColumn id="12" name="Active Opportunity" dataDxfId="1401" totalsRowDxfId="1400"/>
    <tableColumn id="13" name="% Active Opportunity" totalsRowFunction="count" dataDxfId="1399" totalsRowDxfId="1398"/>
  </tableColumns>
  <tableStyleInfo name="TableStyleMedium3" showFirstColumn="0" showLastColumn="0" showRowStripes="1" showColumnStripes="0"/>
</table>
</file>

<file path=xl/tables/table2.xml><?xml version="1.0" encoding="utf-8"?>
<table xmlns="http://schemas.openxmlformats.org/spreadsheetml/2006/main" id="4" name="Table245" displayName="Table245" ref="B37:N46" headerRowDxfId="1397" dataDxfId="1395" headerRowBorderDxfId="1396" tableBorderDxfId="1394" totalsRowBorderDxfId="1393">
  <autoFilter ref="B37:N46"/>
  <tableColumns count="13">
    <tableColumn id="1" name="Group" totalsRowLabel="Total" dataDxfId="1392" totalsRowDxfId="1391"/>
    <tableColumn id="2" name="Personal Challenge / Virtual Competition" totalsRowFunction="sum" dataDxfId="1390" totalsRowDxfId="1389">
      <calculatedColumnFormula>C9+C24</calculatedColumnFormula>
    </tableColumn>
    <tableColumn id="3" name="% Personal Challenge/ Virtual Competition" dataDxfId="1388" dataCellStyle="Percent">
      <calculatedColumnFormula>C38/(COUNTIF(Table1910[Gender],"M")+COUNTIF(Table19[Gender],"M")+COUNTIF(Table1[Gender],"M")+COUNTIF(Table16[Gender],"M")+COUNTIF(Table167[Gender],"M")+COUNTIF(Table1678[Gender],"M"))</calculatedColumnFormula>
    </tableColumn>
    <tableColumn id="4" name="Intra-School Comp" totalsRowFunction="sum" dataDxfId="1387" totalsRowDxfId="1386">
      <calculatedColumnFormula>E9+E24</calculatedColumnFormula>
    </tableColumn>
    <tableColumn id="5" name="% Intra-School Comp" dataDxfId="1385" totalsRowDxfId="1384" dataCellStyle="Percent">
      <calculatedColumnFormula>E38/($C$5+$C$20)</calculatedColumnFormula>
    </tableColumn>
    <tableColumn id="6" name="Inter-School Comp" totalsRowFunction="sum" dataDxfId="1383" totalsRowDxfId="1382">
      <calculatedColumnFormula>G9+G24</calculatedColumnFormula>
    </tableColumn>
    <tableColumn id="7" name="% Inter-School Comp" dataDxfId="1381" totalsRowDxfId="1380" dataCellStyle="Percent">
      <calculatedColumnFormula>G38/($C$5+$C$20)</calculatedColumnFormula>
    </tableColumn>
    <tableColumn id="8" name="Extra-Curricular Club" totalsRowFunction="sum" dataDxfId="1379" totalsRowDxfId="1378">
      <calculatedColumnFormula>I9+I24</calculatedColumnFormula>
    </tableColumn>
    <tableColumn id="9" name="% Extra-Curricular Club" dataDxfId="1377" totalsRowDxfId="1376" dataCellStyle="Percent">
      <calculatedColumnFormula>I38/($C$5+$C$20)</calculatedColumnFormula>
    </tableColumn>
    <tableColumn id="10" name="Community Club" totalsRowFunction="sum" dataDxfId="1375" totalsRowDxfId="1374">
      <calculatedColumnFormula>K9+K24</calculatedColumnFormula>
    </tableColumn>
    <tableColumn id="11" name="% Community Club" dataDxfId="1373" totalsRowDxfId="1372" dataCellStyle="Percent">
      <calculatedColumnFormula>K38/($C$5+$C$20)</calculatedColumnFormula>
    </tableColumn>
    <tableColumn id="12" name="Active Opportunity" totalsRowFunction="sum" dataDxfId="1371" totalsRowDxfId="1370">
      <calculatedColumnFormula>M9+M24</calculatedColumnFormula>
    </tableColumn>
    <tableColumn id="13" name="% Active Opportunity" totalsRowFunction="count" dataDxfId="1369" totalsRowDxfId="1368" dataCellStyle="Percent">
      <calculatedColumnFormula>M38/($C$5+$C$20)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0" name="Table211" displayName="Table211" ref="B23:N32" headerRowDxfId="1367" dataDxfId="1365" headerRowBorderDxfId="1366" tableBorderDxfId="1364" totalsRowBorderDxfId="1363">
  <autoFilter ref="B23:N32"/>
  <tableColumns count="13">
    <tableColumn id="1" name="Group" totalsRowLabel="All of KS1" dataDxfId="1362" totalsRowDxfId="1361"/>
    <tableColumn id="2" name="Personal Challenge / Virtual Competition" dataDxfId="1360">
      <calculatedColumnFormula>SUM((COUNTIF(Table1910[Gender],"M")),(COUNTIF(Table19[Gender],"M")),(COUNTIF(Table1[Gender],"M")),(COUNTIF(Table16[Gender],"M")),(COUNTIF(Table167[Gender],"M")),(COUNTIF(Table1678[Gender],"M")))</calculatedColumnFormula>
    </tableColumn>
    <tableColumn id="3" name="% Personal Challenge/ Virtual Competition" dataDxfId="1359"/>
    <tableColumn id="4" name="Extra-Curricular Club" dataDxfId="1358"/>
    <tableColumn id="5" name="% Extra-Curricular Club" dataDxfId="1357"/>
    <tableColumn id="6" name="Intra-School Comp" dataDxfId="1356"/>
    <tableColumn id="7" name="% Intra-School Comp" dataDxfId="1355"/>
    <tableColumn id="8" name="Inter-School Comp" dataDxfId="1354"/>
    <tableColumn id="9" name="% Inter-School Comp" dataDxfId="1353"/>
    <tableColumn id="10" name="Community Club" dataDxfId="1352"/>
    <tableColumn id="11" name="% Community Club" dataDxfId="1351"/>
    <tableColumn id="12" name="Active Opportunity" dataDxfId="1350"/>
    <tableColumn id="13" name="% Active Opportunity" totalsRowFunction="count" dataDxfId="1349"/>
  </tableColumns>
  <tableStyleInfo name="TableStyleLight7" showFirstColumn="0" showLastColumn="0" showRowStripes="1" showColumnStripes="0"/>
</table>
</file>

<file path=xl/tables/table4.xml><?xml version="1.0" encoding="utf-8"?>
<table xmlns="http://schemas.openxmlformats.org/spreadsheetml/2006/main" id="9" name="Table1910" displayName="Table1910" ref="A3:HI221" totalsRowCount="1" headerRowDxfId="1348" dataDxfId="1347">
  <autoFilter ref="A3:HI220"/>
  <tableColumns count="217">
    <tableColumn id="1" name="First Name" totalsRowLabel="Total" dataDxfId="1346"/>
    <tableColumn id="2" name="Surname" dataDxfId="1345"/>
    <tableColumn id="3" name="Gender" dataDxfId="1344"/>
    <tableColumn id="4" name="Class Name" dataDxfId="1343"/>
    <tableColumn id="5" name="FSM / PP" totalsRowFunction="sum" dataDxfId="1342"/>
    <tableColumn id="6" name="Ethnically Diverse" totalsRowFunction="sum" dataDxfId="1341"/>
    <tableColumn id="7" name="EAL" totalsRowFunction="sum" dataDxfId="1340"/>
    <tableColumn id="8" name="SEN" totalsRowFunction="sum" dataDxfId="1339"/>
    <tableColumn id="9" name="Young Leader" totalsRowFunction="sum" dataDxfId="1338"/>
    <tableColumn id="10" name="Least active" totalsRowFunction="sum" dataDxfId="1337"/>
    <tableColumn id="129" name="Total Challenges" totalsRowFunction="sum" dataDxfId="1336">
      <calculatedColumnFormula>SUM(Table1910[[#This Row],[Challenge 1]:[Challenge 50]])</calculatedColumnFormula>
    </tableColumn>
    <tableColumn id="130" name="Total Ex-C Clubs" totalsRowFunction="sum" dataDxfId="1335" totalsRowDxfId="1334">
      <calculatedColumnFormula>SUM(Table1910[[#This Row],[Club 1]:[Club 50]])</calculatedColumnFormula>
    </tableColumn>
    <tableColumn id="131" name="Total Intra-School Sports" totalsRowFunction="sum" dataDxfId="1333" totalsRowDxfId="1332">
      <calculatedColumnFormula>SUM(Table1910[[#This Row],[Intra-school sports 1]:[Intra-school sports 50]])</calculatedColumnFormula>
    </tableColumn>
    <tableColumn id="132" name="Total Inter-School Sports" totalsRowFunction="sum" dataDxfId="1331" totalsRowDxfId="1330">
      <calculatedColumnFormula>SUM(Table1910[[#This Row],[Inter School sports 1]:[Inter School sports 50]])</calculatedColumnFormula>
    </tableColumn>
    <tableColumn id="133" name="Community Clubs" totalsRowFunction="sum" dataDxfId="1329" totalsRowDxfId="1328">
      <calculatedColumnFormula>COUNTIF(Table1910[[#This Row],[Community club (type name of club(s). All clubs will count as ''1'']],"*")</calculatedColumnFormula>
    </tableColumn>
    <tableColumn id="17" name="Active Opportunity" totalsRowFunction="sum" dataDxfId="1327" totalsRowDxfId="1326">
      <calculatedColumnFormula>IF(OR(Table1910[[#This Row],[Total Challenges]]&gt;0,Table1910[[#This Row],[Total Ex-C Clubs]]&gt;0,Table1910[[#This Row],[Total Intra-School Sports]]&gt;0,Table1910[[#This Row],[Total Inter-School Sports]]&gt;0,Table1910[[#This Row],[Community Clubs]]&gt;0),1,0)</calculatedColumnFormula>
    </tableColumn>
    <tableColumn id="11" name="Challenge 1" totalsRowFunction="sum" dataDxfId="1325"/>
    <tableColumn id="12" name="Challenge 2" totalsRowFunction="sum" dataDxfId="1324"/>
    <tableColumn id="13" name="Challenge 3" totalsRowFunction="sum" dataDxfId="1323"/>
    <tableColumn id="14" name="Challenge 4" totalsRowFunction="sum" dataDxfId="1322"/>
    <tableColumn id="15" name="Challenge 5" totalsRowFunction="sum" dataDxfId="1321"/>
    <tableColumn id="16" name="Challenge 6" totalsRowFunction="sum" dataDxfId="1320"/>
    <tableColumn id="25" name="Challenge 7" totalsRowFunction="sum" dataDxfId="1319"/>
    <tableColumn id="27" name="Challenge 8" totalsRowFunction="sum" dataDxfId="1318"/>
    <tableColumn id="28" name="Challenge 9" totalsRowFunction="sum" dataDxfId="1317"/>
    <tableColumn id="29" name="Challenge 10" totalsRowFunction="sum" dataDxfId="1316"/>
    <tableColumn id="30" name="Challenge 11" totalsRowFunction="sum" dataDxfId="1315"/>
    <tableColumn id="88" name="Challenge 12" totalsRowFunction="sum" dataDxfId="1314"/>
    <tableColumn id="89" name="Challenge 13" totalsRowFunction="sum" dataDxfId="1313"/>
    <tableColumn id="90" name="Challenge 14" totalsRowFunction="sum" dataDxfId="1312"/>
    <tableColumn id="91" name="Challenge 15" totalsRowFunction="sum" dataDxfId="1311"/>
    <tableColumn id="92" name="Challenge 16" totalsRowFunction="sum" dataDxfId="1310"/>
    <tableColumn id="93" name="Challenge 17" totalsRowFunction="sum" dataDxfId="1309"/>
    <tableColumn id="94" name="Challenge 18" totalsRowFunction="sum" dataDxfId="1308"/>
    <tableColumn id="95" name="Challenge 19" totalsRowFunction="sum" dataDxfId="1307"/>
    <tableColumn id="96" name="Challenge 20" totalsRowFunction="sum" dataDxfId="1306"/>
    <tableColumn id="97" name="Challenge 21" totalsRowFunction="sum" dataDxfId="1305"/>
    <tableColumn id="98" name="Challenge 22" totalsRowFunction="sum" dataDxfId="1304"/>
    <tableColumn id="99" name="Challenge 23" totalsRowFunction="sum" dataDxfId="1303"/>
    <tableColumn id="100" name="Challenge 24" totalsRowFunction="sum" dataDxfId="1302"/>
    <tableColumn id="101" name="Challenge 25" totalsRowFunction="sum" dataDxfId="1301"/>
    <tableColumn id="102" name="Challenge 26" totalsRowFunction="sum" dataDxfId="1300"/>
    <tableColumn id="103" name="Challenge 27" totalsRowFunction="sum" dataDxfId="1299"/>
    <tableColumn id="104" name="Challenge 28" totalsRowFunction="sum" dataDxfId="1298"/>
    <tableColumn id="105" name="Challenge 29" totalsRowFunction="sum" dataDxfId="1297"/>
    <tableColumn id="106" name="Challenge 30" totalsRowFunction="sum" dataDxfId="1296"/>
    <tableColumn id="107" name="Challenge 31" totalsRowFunction="sum" dataDxfId="1295"/>
    <tableColumn id="108" name="Challenge 32" totalsRowFunction="sum" dataDxfId="1294"/>
    <tableColumn id="109" name="Challenge 33" totalsRowFunction="sum" dataDxfId="1293"/>
    <tableColumn id="110" name="Challenge 34" totalsRowFunction="sum" dataDxfId="1292"/>
    <tableColumn id="111" name="Challenge 35" totalsRowFunction="sum" dataDxfId="1291"/>
    <tableColumn id="112" name="Challenge 36" totalsRowFunction="sum" dataDxfId="1290"/>
    <tableColumn id="113" name="Challenge 37" totalsRowFunction="sum" dataDxfId="1289"/>
    <tableColumn id="114" name="Challenge 38" totalsRowFunction="sum" dataDxfId="1288"/>
    <tableColumn id="115" name="Challenge 39" totalsRowFunction="sum" dataDxfId="1287"/>
    <tableColumn id="116" name="Challenge 40" totalsRowFunction="sum" dataDxfId="1286"/>
    <tableColumn id="117" name="Challenge 41" totalsRowFunction="sum" dataDxfId="1285"/>
    <tableColumn id="118" name="Challenge 42" totalsRowFunction="sum" dataDxfId="1284"/>
    <tableColumn id="119" name="Challenge 43" totalsRowFunction="sum" dataDxfId="1283"/>
    <tableColumn id="120" name="Challenge 44" totalsRowFunction="sum" dataDxfId="1282"/>
    <tableColumn id="121" name="Challenge 45" totalsRowFunction="sum" dataDxfId="1281"/>
    <tableColumn id="122" name="Challenge 46" totalsRowFunction="sum" dataDxfId="1280"/>
    <tableColumn id="123" name="Challenge 47" totalsRowFunction="sum" dataDxfId="1279"/>
    <tableColumn id="124" name="Challenge 48" totalsRowFunction="sum" dataDxfId="1278"/>
    <tableColumn id="125" name="Challenge 49" totalsRowFunction="sum" dataDxfId="1277"/>
    <tableColumn id="126" name="Challenge 50" totalsRowFunction="sum" dataDxfId="1276"/>
    <tableColumn id="18" name="Club 1" totalsRowFunction="sum" dataDxfId="1275"/>
    <tableColumn id="19" name="Club 2" totalsRowFunction="sum" dataDxfId="1274"/>
    <tableColumn id="20" name="Club 3" totalsRowFunction="sum" dataDxfId="1273"/>
    <tableColumn id="21" name="Club 4" totalsRowFunction="sum" dataDxfId="1272"/>
    <tableColumn id="22" name="Club 5" totalsRowFunction="sum" dataDxfId="1271"/>
    <tableColumn id="24" name="Club 6" totalsRowFunction="sum" dataDxfId="1270"/>
    <tableColumn id="26" name="Club 7" totalsRowFunction="sum" dataDxfId="1269"/>
    <tableColumn id="31" name="Club 8" totalsRowFunction="sum" dataDxfId="1268"/>
    <tableColumn id="32" name="Club 9" totalsRowFunction="sum" dataDxfId="1267"/>
    <tableColumn id="33" name="Club 10" totalsRowFunction="sum" dataDxfId="1266"/>
    <tableColumn id="41" name="Club 11" totalsRowFunction="sum" dataDxfId="1265"/>
    <tableColumn id="42" name="Club 12" totalsRowFunction="sum" dataDxfId="1264"/>
    <tableColumn id="43" name="Club 13" totalsRowFunction="sum" dataDxfId="1263"/>
    <tableColumn id="44" name="Club 14" totalsRowFunction="sum" dataDxfId="1262"/>
    <tableColumn id="45" name="Club 15" totalsRowFunction="sum" dataDxfId="1261"/>
    <tableColumn id="46" name="Club 16" totalsRowFunction="sum" dataDxfId="1260"/>
    <tableColumn id="47" name="Club 17" totalsRowFunction="sum" dataDxfId="1259"/>
    <tableColumn id="48" name="Club 18" totalsRowFunction="sum" dataDxfId="1258"/>
    <tableColumn id="56" name="Club 19" totalsRowFunction="sum" dataDxfId="1257"/>
    <tableColumn id="57" name="Club 20" totalsRowFunction="sum" dataDxfId="1256"/>
    <tableColumn id="58" name="Club 21" totalsRowFunction="sum" dataDxfId="1255"/>
    <tableColumn id="59" name="Club 22" totalsRowFunction="sum" dataDxfId="1254"/>
    <tableColumn id="60" name="Club 23" totalsRowFunction="sum" dataDxfId="1253"/>
    <tableColumn id="61" name="Club 24" totalsRowFunction="sum" dataDxfId="1252"/>
    <tableColumn id="62" name="Club 25" totalsRowFunction="sum" dataDxfId="1251"/>
    <tableColumn id="63" name="Club 26" totalsRowFunction="sum" dataDxfId="1250"/>
    <tableColumn id="64" name="Club 27" totalsRowFunction="sum" dataDxfId="1249"/>
    <tableColumn id="65" name="Club 28" totalsRowFunction="sum" dataDxfId="1248"/>
    <tableColumn id="66" name="Club 29" totalsRowFunction="sum" dataDxfId="1247"/>
    <tableColumn id="67" name="Club 30" totalsRowFunction="sum" dataDxfId="1246"/>
    <tableColumn id="68" name="Club 31" totalsRowFunction="sum" dataDxfId="1245"/>
    <tableColumn id="69" name="Club 32" totalsRowFunction="sum" dataDxfId="1244"/>
    <tableColumn id="70" name="Club 33" totalsRowFunction="sum" dataDxfId="1243"/>
    <tableColumn id="71" name="Club 34" totalsRowFunction="sum" dataDxfId="1242"/>
    <tableColumn id="72" name="Club 35" totalsRowFunction="sum" dataDxfId="1241"/>
    <tableColumn id="73" name="Club 36" totalsRowFunction="sum" dataDxfId="1240"/>
    <tableColumn id="74" name="Club 37" totalsRowFunction="sum" dataDxfId="1239"/>
    <tableColumn id="75" name="Club 38" totalsRowFunction="sum" dataDxfId="1238"/>
    <tableColumn id="76" name="Club 39" totalsRowFunction="sum" dataDxfId="1237"/>
    <tableColumn id="77" name="Club 40" totalsRowFunction="sum" dataDxfId="1236"/>
    <tableColumn id="78" name="Club 41" totalsRowFunction="sum" dataDxfId="1235"/>
    <tableColumn id="79" name="Club 42" totalsRowFunction="sum" dataDxfId="1234"/>
    <tableColumn id="80" name="Club 43" totalsRowFunction="sum" dataDxfId="1233"/>
    <tableColumn id="81" name="Club 44" totalsRowFunction="sum" dataDxfId="1232"/>
    <tableColumn id="82" name="Club 45" totalsRowFunction="sum" dataDxfId="1231"/>
    <tableColumn id="83" name="Club 46" totalsRowFunction="sum" dataDxfId="1230"/>
    <tableColumn id="84" name="Club 47" totalsRowFunction="sum" dataDxfId="1229"/>
    <tableColumn id="85" name="Club 48" totalsRowFunction="sum" dataDxfId="1228"/>
    <tableColumn id="86" name="Club 49" totalsRowFunction="sum" dataDxfId="1227"/>
    <tableColumn id="87" name="Club 50" totalsRowFunction="sum" dataDxfId="1226"/>
    <tableColumn id="34" name="Intra-school sports 1" totalsRowFunction="sum" dataDxfId="1225"/>
    <tableColumn id="35" name="Intra-school sports 2" totalsRowFunction="sum" dataDxfId="1224"/>
    <tableColumn id="36" name="Intra-school sports 3" totalsRowFunction="sum" dataDxfId="1223"/>
    <tableColumn id="37" name="Intra-school sports 4" totalsRowFunction="sum" dataDxfId="1222"/>
    <tableColumn id="38" name="Intra-school sports 5" totalsRowFunction="sum" dataDxfId="1221"/>
    <tableColumn id="39" name="Intra-school sports 6" totalsRowFunction="sum" dataDxfId="1220"/>
    <tableColumn id="151" name="Intra-school sports 7" totalsRowFunction="sum" dataDxfId="1219"/>
    <tableColumn id="152" name="Intra-school sports 8" totalsRowFunction="sum" dataDxfId="1218"/>
    <tableColumn id="153" name="Intra-school sports 9" totalsRowFunction="sum" dataDxfId="1217"/>
    <tableColumn id="154" name="Intra-school sports 10" totalsRowFunction="sum" dataDxfId="1216"/>
    <tableColumn id="155" name="Intra-school sports 11" totalsRowFunction="sum" dataDxfId="1215"/>
    <tableColumn id="156" name="Intra-school sports 12" totalsRowFunction="sum" dataDxfId="1214"/>
    <tableColumn id="157" name="Intra-school sports 13" totalsRowFunction="sum" dataDxfId="1213"/>
    <tableColumn id="158" name="Intra-school sports 14" totalsRowFunction="sum" dataDxfId="1212"/>
    <tableColumn id="159" name="Intra-school sports 15" totalsRowFunction="sum" dataDxfId="1211"/>
    <tableColumn id="160" name="Intra-school sports 16" totalsRowFunction="sum" dataDxfId="1210"/>
    <tableColumn id="161" name="Intra-school sports 17" totalsRowFunction="sum" dataDxfId="1209"/>
    <tableColumn id="162" name="Intra-school sports 18" totalsRowFunction="sum" dataDxfId="1208"/>
    <tableColumn id="163" name="Intra-school sports 19" totalsRowFunction="sum" dataDxfId="1207"/>
    <tableColumn id="164" name="Intra-school sports 20" totalsRowFunction="sum" dataDxfId="1206"/>
    <tableColumn id="165" name="Intra-school sports 21" totalsRowFunction="sum" dataDxfId="1205"/>
    <tableColumn id="166" name="Intra-school sports 22" totalsRowFunction="sum" dataDxfId="1204"/>
    <tableColumn id="167" name="Intra-school sports 23" totalsRowFunction="sum" dataDxfId="1203"/>
    <tableColumn id="168" name="Intra-school sports 24" totalsRowFunction="sum" dataDxfId="1202"/>
    <tableColumn id="169" name="Intra-school sports 25" totalsRowFunction="sum" dataDxfId="1201"/>
    <tableColumn id="170" name="Intra-school sports 26" totalsRowFunction="sum" dataDxfId="1200"/>
    <tableColumn id="171" name="Intra-school sports 27" totalsRowFunction="sum" dataDxfId="1199"/>
    <tableColumn id="172" name="Intra-school sports 28" totalsRowFunction="sum" dataDxfId="1198"/>
    <tableColumn id="173" name="Intra-school sports 29" totalsRowFunction="sum" dataDxfId="1197"/>
    <tableColumn id="174" name="Intra-school sports 30" totalsRowFunction="sum" dataDxfId="1196"/>
    <tableColumn id="175" name="Intra-school sports 31" totalsRowFunction="sum" dataDxfId="1195"/>
    <tableColumn id="176" name="Intra-school sports 32" totalsRowFunction="sum" dataDxfId="1194"/>
    <tableColumn id="177" name="Intra-school sports 33" totalsRowFunction="sum" dataDxfId="1193"/>
    <tableColumn id="178" name="Intra-school sports 34" totalsRowFunction="sum" dataDxfId="1192"/>
    <tableColumn id="179" name="Intra-school sports 35" totalsRowFunction="sum" dataDxfId="1191"/>
    <tableColumn id="180" name="Intra-school sports 36" totalsRowFunction="sum" dataDxfId="1190"/>
    <tableColumn id="181" name="Intra-school sports 37" totalsRowFunction="sum" dataDxfId="1189"/>
    <tableColumn id="182" name="Intra-school sports 38" totalsRowFunction="sum" dataDxfId="1188"/>
    <tableColumn id="183" name="Intra-school sports 39" totalsRowFunction="sum" dataDxfId="1187"/>
    <tableColumn id="184" name="Intra-school sports 40" totalsRowFunction="sum" dataDxfId="1186"/>
    <tableColumn id="185" name="Intra-school sports 41" totalsRowFunction="sum" dataDxfId="1185"/>
    <tableColumn id="186" name="Intra-school sports 42" totalsRowFunction="sum" dataDxfId="1184"/>
    <tableColumn id="187" name="Intra-school sports 43" totalsRowFunction="sum" dataDxfId="1183"/>
    <tableColumn id="188" name="Intra-school sports 44" totalsRowFunction="sum" dataDxfId="1182"/>
    <tableColumn id="189" name="Intra-school sports 45" totalsRowFunction="sum" dataDxfId="1181"/>
    <tableColumn id="190" name="Intra-school sports 46" totalsRowFunction="sum" dataDxfId="1180"/>
    <tableColumn id="191" name="Intra-school sports 47" totalsRowFunction="sum" dataDxfId="1179"/>
    <tableColumn id="192" name="Intra-school sports 48" totalsRowFunction="sum" dataDxfId="1178"/>
    <tableColumn id="193" name="Intra-school sports 49" totalsRowFunction="sum" dataDxfId="1177"/>
    <tableColumn id="194" name="Intra-school sports 50" totalsRowFunction="sum" dataDxfId="1176"/>
    <tableColumn id="49" name="Inter School sports 1" totalsRowFunction="sum" dataDxfId="1175"/>
    <tableColumn id="50" name="Inter School sports 2" totalsRowFunction="sum" dataDxfId="1174"/>
    <tableColumn id="51" name="Inter School sports 3" totalsRowFunction="sum" dataDxfId="1173"/>
    <tableColumn id="52" name="Inter School sports 4" totalsRowFunction="sum" dataDxfId="1172"/>
    <tableColumn id="53" name="Inter School sports 5" totalsRowFunction="sum" dataDxfId="1171"/>
    <tableColumn id="54" name="Inter School sports 6" totalsRowFunction="sum" dataDxfId="1170"/>
    <tableColumn id="198" name="Inter School sports 7" totalsRowFunction="sum" dataDxfId="1169"/>
    <tableColumn id="199" name="Inter School sports 8" totalsRowFunction="sum" dataDxfId="1168"/>
    <tableColumn id="200" name="Inter School sports 9" totalsRowFunction="sum" dataDxfId="1167"/>
    <tableColumn id="201" name="Inter School sports 10" totalsRowFunction="sum" dataDxfId="1166"/>
    <tableColumn id="202" name="Inter School sports 11" totalsRowFunction="sum" dataDxfId="1165"/>
    <tableColumn id="203" name="Inter School sports 12" totalsRowFunction="sum" dataDxfId="1164"/>
    <tableColumn id="204" name="Inter School sports 13" totalsRowFunction="sum" dataDxfId="1163"/>
    <tableColumn id="205" name="Inter School sports 14" totalsRowFunction="sum" dataDxfId="1162"/>
    <tableColumn id="206" name="Inter School sports 15" totalsRowFunction="sum" dataDxfId="1161"/>
    <tableColumn id="207" name="Inter School sports 16" totalsRowFunction="sum" dataDxfId="1160"/>
    <tableColumn id="208" name="Inter School sports 17" totalsRowFunction="sum" dataDxfId="1159"/>
    <tableColumn id="209" name="Inter School sports 18" totalsRowFunction="sum" dataDxfId="1158"/>
    <tableColumn id="210" name="Inter School sports 19" totalsRowFunction="sum" dataDxfId="1157"/>
    <tableColumn id="211" name="Inter School sports 20" totalsRowFunction="sum" dataDxfId="1156"/>
    <tableColumn id="212" name="Inter School sports 21" totalsRowFunction="sum" dataDxfId="1155"/>
    <tableColumn id="213" name="Inter School sports 22" totalsRowFunction="sum" dataDxfId="1154"/>
    <tableColumn id="214" name="Inter School sports 23" totalsRowFunction="sum" dataDxfId="1153"/>
    <tableColumn id="215" name="Inter School sports 24" totalsRowFunction="sum" dataDxfId="1152"/>
    <tableColumn id="216" name="Inter School sports 25" totalsRowFunction="sum" dataDxfId="1151"/>
    <tableColumn id="217" name="Inter School sports 26" totalsRowFunction="sum" dataDxfId="1150"/>
    <tableColumn id="218" name="Inter School sports 27" totalsRowFunction="sum" dataDxfId="1149"/>
    <tableColumn id="219" name="Inter School sports 28" totalsRowFunction="sum" dataDxfId="1148"/>
    <tableColumn id="220" name="Inter School sports 29" totalsRowFunction="sum" dataDxfId="1147"/>
    <tableColumn id="221" name="Inter School sports 30" totalsRowFunction="sum" dataDxfId="1146"/>
    <tableColumn id="222" name="Inter School sports 31" totalsRowFunction="sum" dataDxfId="1145"/>
    <tableColumn id="223" name="Inter School sports 32" totalsRowFunction="sum" dataDxfId="1144"/>
    <tableColumn id="224" name="Inter School sports 33" totalsRowFunction="sum" dataDxfId="1143"/>
    <tableColumn id="225" name="Inter School sports 34" totalsRowFunction="sum" dataDxfId="1142"/>
    <tableColumn id="226" name="Inter School sports 35" totalsRowFunction="sum" dataDxfId="1141"/>
    <tableColumn id="227" name="Inter School sports 36" totalsRowFunction="sum" dataDxfId="1140"/>
    <tableColumn id="228" name="Inter School sports 37" totalsRowFunction="sum" dataDxfId="1139"/>
    <tableColumn id="229" name="Inter School sports 38" totalsRowFunction="sum" dataDxfId="1138"/>
    <tableColumn id="230" name="Inter School sports 39" totalsRowFunction="sum" dataDxfId="1137"/>
    <tableColumn id="231" name="Inter School sports 40" totalsRowFunction="sum" dataDxfId="1136"/>
    <tableColumn id="232" name="Inter School sports 41" totalsRowFunction="sum" dataDxfId="1135"/>
    <tableColumn id="233" name="Inter School sports 42" totalsRowFunction="sum" dataDxfId="1134"/>
    <tableColumn id="234" name="Inter School sports 43" totalsRowFunction="sum" dataDxfId="1133"/>
    <tableColumn id="235" name="Inter School sports 44" totalsRowFunction="sum" dataDxfId="1132"/>
    <tableColumn id="236" name="Inter School sports 45" totalsRowFunction="sum" dataDxfId="1131"/>
    <tableColumn id="237" name="Inter School sports 46" totalsRowFunction="sum" dataDxfId="1130"/>
    <tableColumn id="238" name="Inter School sports 47" totalsRowFunction="sum" dataDxfId="1129"/>
    <tableColumn id="239" name="Inter School sports 48" totalsRowFunction="sum" dataDxfId="1128"/>
    <tableColumn id="240" name="Inter School sports 49" totalsRowFunction="sum" dataDxfId="1127"/>
    <tableColumn id="241" name="Inter School sports 50" totalsRowFunction="sum" dataDxfId="1126"/>
    <tableColumn id="134" name="Community club (type name of club(s). All clubs will count as '1'" dataDxfId="1125"/>
  </tableColumns>
  <tableStyleInfo name="TableStyleLight21" showFirstColumn="0" showLastColumn="0" showRowStripes="1" showColumnStripes="1"/>
</table>
</file>

<file path=xl/tables/table5.xml><?xml version="1.0" encoding="utf-8"?>
<table xmlns="http://schemas.openxmlformats.org/spreadsheetml/2006/main" id="8" name="Table19" displayName="Table19" ref="A3:HI221" totalsRowCount="1" headerRowDxfId="1124" dataDxfId="1123">
  <autoFilter ref="A3:HI220"/>
  <tableColumns count="217">
    <tableColumn id="1" name="First Name" totalsRowLabel="Total" dataDxfId="1122"/>
    <tableColumn id="2" name="Surname" dataDxfId="1121"/>
    <tableColumn id="3" name="Gender" dataDxfId="1120"/>
    <tableColumn id="4" name="Class Name" dataDxfId="1119"/>
    <tableColumn id="5" name="FSM / PP" totalsRowFunction="sum" dataDxfId="1118"/>
    <tableColumn id="6" name="Ethnically Diverse" totalsRowFunction="sum" dataDxfId="1117"/>
    <tableColumn id="7" name="EAL" totalsRowFunction="sum" dataDxfId="1116"/>
    <tableColumn id="8" name="SEN" totalsRowFunction="sum" dataDxfId="1115"/>
    <tableColumn id="9" name="Young Leader" totalsRowFunction="sum" dataDxfId="1114"/>
    <tableColumn id="10" name="Least active" totalsRowFunction="sum" dataDxfId="1113"/>
    <tableColumn id="129" name="Total Challenges" totalsRowFunction="sum" dataDxfId="1112" totalsRowDxfId="1111">
      <calculatedColumnFormula>SUM(Table19[[#This Row],[Challenge 1]:[Challenge 50]])</calculatedColumnFormula>
    </tableColumn>
    <tableColumn id="130" name="Total Ex-C Clubs" totalsRowFunction="sum" dataDxfId="1110" totalsRowDxfId="1109">
      <calculatedColumnFormula>SUM(Table19[[#This Row],[Club 1]:[Club 50]])</calculatedColumnFormula>
    </tableColumn>
    <tableColumn id="131" name="Total Intra-School Sports" totalsRowFunction="sum" dataDxfId="1108" totalsRowDxfId="1107">
      <calculatedColumnFormula>SUM(Table19[[#This Row],[Intra-school sports 1]:[Intra-school sports 50]])</calculatedColumnFormula>
    </tableColumn>
    <tableColumn id="132" name="Total Inter-School Sports" totalsRowFunction="sum" dataDxfId="1106" totalsRowDxfId="1105">
      <calculatedColumnFormula>SUM(Table19[[#This Row],[Inter School sports 1]:[Inter School sports 50]])</calculatedColumnFormula>
    </tableColumn>
    <tableColumn id="133" name="Community Clubs" totalsRowFunction="sum" dataDxfId="1104" totalsRowDxfId="1103">
      <calculatedColumnFormula>COUNTIF(Table19[[#This Row],[Community club (type name of club(s). All clubs will count as ''1'']],"*")</calculatedColumnFormula>
    </tableColumn>
    <tableColumn id="17" name="Active Opportunity" totalsRowFunction="sum" dataDxfId="1102" totalsRowDxfId="1101">
      <calculatedColumnFormula>IF(OR(Table19[[#This Row],[Total Challenges]]&gt;0,Table19[[#This Row],[Total Ex-C Clubs]]&gt;0,Table19[[#This Row],[Total Intra-School Sports]]&gt;0,Table19[[#This Row],[Total Inter-School Sports]]&gt;0,Table19[[#This Row],[Community Clubs]]&gt;0),1,0)</calculatedColumnFormula>
    </tableColumn>
    <tableColumn id="11" name="Challenge 1" totalsRowFunction="sum" dataDxfId="1100"/>
    <tableColumn id="12" name="Challenge 2" totalsRowFunction="sum" dataDxfId="1099"/>
    <tableColumn id="13" name="Challenge 3" totalsRowFunction="sum" dataDxfId="1098"/>
    <tableColumn id="14" name="Challenge 4" totalsRowFunction="sum" dataDxfId="1097"/>
    <tableColumn id="15" name="Challenge 5" totalsRowFunction="sum" dataDxfId="1096"/>
    <tableColumn id="16" name="Challenge 6" totalsRowFunction="sum" dataDxfId="1095"/>
    <tableColumn id="25" name="Challenge 7" totalsRowFunction="sum" dataDxfId="1094"/>
    <tableColumn id="27" name="Challenge 8" totalsRowFunction="sum" dataDxfId="1093"/>
    <tableColumn id="28" name="Challenge 9" totalsRowFunction="sum" dataDxfId="1092"/>
    <tableColumn id="29" name="Challenge 10" totalsRowFunction="sum" dataDxfId="1091"/>
    <tableColumn id="30" name="Challenge 11" totalsRowFunction="sum" dataDxfId="1090"/>
    <tableColumn id="88" name="Challenge 12" totalsRowFunction="sum" dataDxfId="1089"/>
    <tableColumn id="89" name="Challenge 13" totalsRowFunction="sum" dataDxfId="1088"/>
    <tableColumn id="90" name="Challenge 14" totalsRowFunction="sum" dataDxfId="1087"/>
    <tableColumn id="91" name="Challenge 15" totalsRowFunction="sum" dataDxfId="1086"/>
    <tableColumn id="92" name="Challenge 16" totalsRowFunction="sum" dataDxfId="1085"/>
    <tableColumn id="93" name="Challenge 17" totalsRowFunction="sum" dataDxfId="1084"/>
    <tableColumn id="94" name="Challenge 18" totalsRowFunction="sum" dataDxfId="1083"/>
    <tableColumn id="95" name="Challenge 19" totalsRowFunction="sum" dataDxfId="1082"/>
    <tableColumn id="96" name="Challenge 20" totalsRowFunction="sum" dataDxfId="1081"/>
    <tableColumn id="97" name="Challenge 21" totalsRowFunction="sum" dataDxfId="1080"/>
    <tableColumn id="98" name="Challenge 22" totalsRowFunction="sum" dataDxfId="1079"/>
    <tableColumn id="99" name="Challenge 23" totalsRowFunction="sum" dataDxfId="1078"/>
    <tableColumn id="100" name="Challenge 24" totalsRowFunction="sum" dataDxfId="1077"/>
    <tableColumn id="101" name="Challenge 25" totalsRowFunction="sum" dataDxfId="1076"/>
    <tableColumn id="102" name="Challenge 26" totalsRowFunction="sum" dataDxfId="1075"/>
    <tableColumn id="103" name="Challenge 27" totalsRowFunction="sum" dataDxfId="1074"/>
    <tableColumn id="104" name="Challenge 28" totalsRowFunction="sum" dataDxfId="1073"/>
    <tableColumn id="105" name="Challenge 29" totalsRowFunction="sum" dataDxfId="1072"/>
    <tableColumn id="106" name="Challenge 30" totalsRowFunction="sum" dataDxfId="1071"/>
    <tableColumn id="107" name="Challenge 31" totalsRowFunction="sum" dataDxfId="1070"/>
    <tableColumn id="108" name="Challenge 32" totalsRowFunction="sum" dataDxfId="1069"/>
    <tableColumn id="109" name="Challenge 33" totalsRowFunction="sum" dataDxfId="1068"/>
    <tableColumn id="110" name="Challenge 34" totalsRowFunction="sum" dataDxfId="1067"/>
    <tableColumn id="111" name="Challenge 35" totalsRowFunction="sum" dataDxfId="1066"/>
    <tableColumn id="112" name="Challenge 36" totalsRowFunction="sum" dataDxfId="1065"/>
    <tableColumn id="113" name="Challenge 37" totalsRowFunction="sum" dataDxfId="1064"/>
    <tableColumn id="114" name="Challenge 38" totalsRowFunction="sum" dataDxfId="1063"/>
    <tableColumn id="115" name="Challenge 39" totalsRowFunction="sum" dataDxfId="1062"/>
    <tableColumn id="116" name="Challenge 40" totalsRowFunction="sum" dataDxfId="1061"/>
    <tableColumn id="117" name="Challenge 41" totalsRowFunction="sum" dataDxfId="1060"/>
    <tableColumn id="118" name="Challenge 42" totalsRowFunction="sum" dataDxfId="1059"/>
    <tableColumn id="119" name="Challenge 43" totalsRowFunction="sum" dataDxfId="1058"/>
    <tableColumn id="120" name="Challenge 44" totalsRowFunction="sum" dataDxfId="1057"/>
    <tableColumn id="121" name="Challenge 45" totalsRowFunction="sum" dataDxfId="1056"/>
    <tableColumn id="122" name="Challenge 46" totalsRowFunction="sum" dataDxfId="1055"/>
    <tableColumn id="123" name="Challenge 47" totalsRowFunction="sum" dataDxfId="1054"/>
    <tableColumn id="124" name="Challenge 48" totalsRowFunction="sum" dataDxfId="1053"/>
    <tableColumn id="125" name="Challenge 49" totalsRowFunction="sum" dataDxfId="1052"/>
    <tableColumn id="126" name="Challenge 50" totalsRowFunction="sum" dataDxfId="1051"/>
    <tableColumn id="18" name="Club 1" totalsRowFunction="sum" dataDxfId="1050"/>
    <tableColumn id="19" name="Club 2" totalsRowFunction="sum" dataDxfId="1049"/>
    <tableColumn id="20" name="Club 3" totalsRowFunction="sum" dataDxfId="1048"/>
    <tableColumn id="21" name="Club 4" totalsRowFunction="sum" dataDxfId="1047"/>
    <tableColumn id="22" name="Club 5" totalsRowFunction="sum" dataDxfId="1046"/>
    <tableColumn id="24" name="Club 6" totalsRowFunction="sum" dataDxfId="1045"/>
    <tableColumn id="26" name="Club 7" totalsRowFunction="sum" dataDxfId="1044"/>
    <tableColumn id="31" name="Club 8" totalsRowFunction="sum" dataDxfId="1043"/>
    <tableColumn id="32" name="Club 9" totalsRowFunction="sum" dataDxfId="1042"/>
    <tableColumn id="33" name="Club 10" totalsRowFunction="sum" dataDxfId="1041"/>
    <tableColumn id="41" name="Club 11" totalsRowFunction="sum" dataDxfId="1040"/>
    <tableColumn id="42" name="Club 12" totalsRowFunction="sum" dataDxfId="1039"/>
    <tableColumn id="43" name="Club 13" totalsRowFunction="sum" dataDxfId="1038"/>
    <tableColumn id="44" name="Club 14" totalsRowFunction="sum" dataDxfId="1037"/>
    <tableColumn id="45" name="Club 15" totalsRowFunction="sum" dataDxfId="1036"/>
    <tableColumn id="46" name="Club 16" totalsRowFunction="sum" dataDxfId="1035"/>
    <tableColumn id="47" name="Club 17" totalsRowFunction="sum" dataDxfId="1034"/>
    <tableColumn id="48" name="Club 18" totalsRowFunction="sum" dataDxfId="1033"/>
    <tableColumn id="56" name="Club 19" totalsRowFunction="sum" dataDxfId="1032"/>
    <tableColumn id="57" name="Club 20" totalsRowFunction="sum" dataDxfId="1031"/>
    <tableColumn id="58" name="Club 21" totalsRowFunction="sum" dataDxfId="1030"/>
    <tableColumn id="59" name="Club 22" totalsRowFunction="sum" dataDxfId="1029"/>
    <tableColumn id="60" name="Club 23" totalsRowFunction="sum" dataDxfId="1028"/>
    <tableColumn id="61" name="Club 24" totalsRowFunction="sum" dataDxfId="1027"/>
    <tableColumn id="62" name="Club 25" totalsRowFunction="sum" dataDxfId="1026"/>
    <tableColumn id="63" name="Club 26" totalsRowFunction="sum" dataDxfId="1025"/>
    <tableColumn id="64" name="Club 27" totalsRowFunction="sum" dataDxfId="1024"/>
    <tableColumn id="65" name="Club 28" totalsRowFunction="sum" dataDxfId="1023"/>
    <tableColumn id="66" name="Club 29" totalsRowFunction="sum" dataDxfId="1022"/>
    <tableColumn id="67" name="Club 30" totalsRowFunction="sum" dataDxfId="1021"/>
    <tableColumn id="68" name="Club 31" totalsRowFunction="sum" dataDxfId="1020"/>
    <tableColumn id="69" name="Club 32" totalsRowFunction="sum" dataDxfId="1019"/>
    <tableColumn id="70" name="Club 33" totalsRowFunction="sum" dataDxfId="1018"/>
    <tableColumn id="71" name="Club 34" totalsRowFunction="sum" dataDxfId="1017"/>
    <tableColumn id="72" name="Club 35" totalsRowFunction="sum" dataDxfId="1016"/>
    <tableColumn id="73" name="Club 36" totalsRowFunction="sum" dataDxfId="1015"/>
    <tableColumn id="74" name="Club 37" totalsRowFunction="sum" dataDxfId="1014"/>
    <tableColumn id="75" name="Club 38" totalsRowFunction="sum" dataDxfId="1013"/>
    <tableColumn id="76" name="Club 39" totalsRowFunction="sum" dataDxfId="1012"/>
    <tableColumn id="77" name="Club 40" totalsRowFunction="sum" dataDxfId="1011"/>
    <tableColumn id="78" name="Club 41" totalsRowFunction="sum" dataDxfId="1010"/>
    <tableColumn id="79" name="Club 42" totalsRowFunction="sum" dataDxfId="1009"/>
    <tableColumn id="80" name="Club 43" totalsRowFunction="sum" dataDxfId="1008"/>
    <tableColumn id="81" name="Club 44" totalsRowFunction="sum" dataDxfId="1007"/>
    <tableColumn id="82" name="Club 45" totalsRowFunction="sum" dataDxfId="1006"/>
    <tableColumn id="83" name="Club 46" totalsRowFunction="sum" dataDxfId="1005"/>
    <tableColumn id="84" name="Club 47" totalsRowFunction="sum" dataDxfId="1004"/>
    <tableColumn id="85" name="Club 48" totalsRowFunction="sum" dataDxfId="1003"/>
    <tableColumn id="86" name="Club 49" totalsRowFunction="sum" dataDxfId="1002"/>
    <tableColumn id="87" name="Club 50" totalsRowFunction="sum" dataDxfId="1001"/>
    <tableColumn id="34" name="Intra-school sports 1" totalsRowFunction="sum" dataDxfId="1000"/>
    <tableColumn id="35" name="Intra-school sports 2" totalsRowFunction="sum" dataDxfId="999"/>
    <tableColumn id="36" name="Intra-school sports 3" totalsRowFunction="sum" dataDxfId="998"/>
    <tableColumn id="37" name="Intra-school sports 4" totalsRowFunction="sum" dataDxfId="997"/>
    <tableColumn id="38" name="Intra-school sports 5" totalsRowFunction="sum" dataDxfId="996"/>
    <tableColumn id="39" name="Intra-school sports 6" totalsRowFunction="sum" dataDxfId="995"/>
    <tableColumn id="151" name="Intra-school sports 7" totalsRowFunction="sum" dataDxfId="994"/>
    <tableColumn id="152" name="Intra-school sports 8" totalsRowFunction="sum" dataDxfId="993"/>
    <tableColumn id="153" name="Intra-school sports 9" totalsRowFunction="sum" dataDxfId="992"/>
    <tableColumn id="154" name="Intra-school sports 10" totalsRowFunction="sum" dataDxfId="991"/>
    <tableColumn id="155" name="Intra-school sports 11" totalsRowFunction="sum" dataDxfId="990"/>
    <tableColumn id="156" name="Intra-school sports 12" totalsRowFunction="sum" dataDxfId="989"/>
    <tableColumn id="157" name="Intra-school sports 13" totalsRowFunction="sum" dataDxfId="988"/>
    <tableColumn id="158" name="Intra-school sports 14" totalsRowFunction="sum" dataDxfId="987"/>
    <tableColumn id="159" name="Intra-school sports 15" totalsRowFunction="sum" dataDxfId="986"/>
    <tableColumn id="160" name="Intra-school sports 16" totalsRowFunction="sum" dataDxfId="985"/>
    <tableColumn id="161" name="Intra-school sports 17" totalsRowFunction="sum" dataDxfId="984"/>
    <tableColumn id="162" name="Intra-school sports 18" totalsRowFunction="sum" dataDxfId="983"/>
    <tableColumn id="163" name="Intra-school sports 19" totalsRowFunction="sum" dataDxfId="982"/>
    <tableColumn id="164" name="Intra-school sports 20" totalsRowFunction="sum" dataDxfId="981"/>
    <tableColumn id="165" name="Intra-school sports 21" totalsRowFunction="sum" dataDxfId="980"/>
    <tableColumn id="166" name="Intra-school sports 22" totalsRowFunction="sum" dataDxfId="979"/>
    <tableColumn id="167" name="Intra-school sports 23" totalsRowFunction="sum" dataDxfId="978"/>
    <tableColumn id="168" name="Intra-school sports 24" totalsRowFunction="sum" dataDxfId="977"/>
    <tableColumn id="169" name="Intra-school sports 25" totalsRowFunction="sum" dataDxfId="976"/>
    <tableColumn id="170" name="Intra-school sports 26" totalsRowFunction="sum" dataDxfId="975"/>
    <tableColumn id="171" name="Intra-school sports 27" totalsRowFunction="sum" dataDxfId="974"/>
    <tableColumn id="172" name="Intra-school sports 28" totalsRowFunction="sum" dataDxfId="973"/>
    <tableColumn id="173" name="Intra-school sports 29" totalsRowFunction="sum" dataDxfId="972"/>
    <tableColumn id="174" name="Intra-school sports 30" totalsRowFunction="sum" dataDxfId="971"/>
    <tableColumn id="175" name="Intra-school sports 31" totalsRowFunction="sum" dataDxfId="970"/>
    <tableColumn id="176" name="Intra-school sports 32" totalsRowFunction="sum" dataDxfId="969"/>
    <tableColumn id="177" name="Intra-school sports 33" totalsRowFunction="sum" dataDxfId="968"/>
    <tableColumn id="178" name="Intra-school sports 34" totalsRowFunction="sum" dataDxfId="967"/>
    <tableColumn id="179" name="Intra-school sports 35" totalsRowFunction="sum" dataDxfId="966"/>
    <tableColumn id="180" name="Intra-school sports 36" totalsRowFunction="sum" dataDxfId="965"/>
    <tableColumn id="181" name="Intra-school sports 37" totalsRowFunction="sum" dataDxfId="964"/>
    <tableColumn id="182" name="Intra-school sports 38" totalsRowFunction="sum" dataDxfId="963"/>
    <tableColumn id="183" name="Intra-school sports 39" totalsRowFunction="sum" dataDxfId="962"/>
    <tableColumn id="184" name="Intra-school sports 40" totalsRowFunction="sum" dataDxfId="961"/>
    <tableColumn id="185" name="Intra-school sports 41" totalsRowFunction="sum" dataDxfId="960"/>
    <tableColumn id="186" name="Intra-school sports 42" totalsRowFunction="sum" dataDxfId="959"/>
    <tableColumn id="187" name="Intra-school sports 43" totalsRowFunction="sum" dataDxfId="958"/>
    <tableColumn id="188" name="Intra-school sports 44" totalsRowFunction="sum" dataDxfId="957"/>
    <tableColumn id="189" name="Intra-school sports 45" totalsRowFunction="sum" dataDxfId="956"/>
    <tableColumn id="190" name="Intra-school sports 46" totalsRowFunction="sum" dataDxfId="955"/>
    <tableColumn id="191" name="Intra-school sports 47" totalsRowFunction="sum" dataDxfId="954"/>
    <tableColumn id="192" name="Intra-school sports 48" totalsRowFunction="sum" dataDxfId="953"/>
    <tableColumn id="193" name="Intra-school sports 49" totalsRowFunction="sum" dataDxfId="952"/>
    <tableColumn id="194" name="Intra-school sports 50" totalsRowFunction="sum" dataDxfId="951"/>
    <tableColumn id="49" name="Inter School sports 1" totalsRowFunction="sum" dataDxfId="950"/>
    <tableColumn id="50" name="Inter School sports 2" totalsRowFunction="sum" dataDxfId="949"/>
    <tableColumn id="51" name="Inter School sports 3" totalsRowFunction="sum" dataDxfId="948"/>
    <tableColumn id="52" name="Inter School sports 4" totalsRowFunction="sum" dataDxfId="947"/>
    <tableColumn id="53" name="Inter School sports 5" totalsRowFunction="sum" dataDxfId="946"/>
    <tableColumn id="54" name="Inter School sports 6" totalsRowFunction="sum" dataDxfId="945"/>
    <tableColumn id="198" name="Inter School sports 7" totalsRowFunction="sum" dataDxfId="944"/>
    <tableColumn id="199" name="Inter School sports 8" totalsRowFunction="sum" dataDxfId="943"/>
    <tableColumn id="200" name="Inter School sports 9" totalsRowFunction="sum" dataDxfId="942"/>
    <tableColumn id="201" name="Inter School sports 10" totalsRowFunction="sum" dataDxfId="941"/>
    <tableColumn id="202" name="Inter School sports 11" totalsRowFunction="sum" dataDxfId="940"/>
    <tableColumn id="203" name="Inter School sports 12" totalsRowFunction="sum" dataDxfId="939"/>
    <tableColumn id="204" name="Inter School sports 13" totalsRowFunction="sum" dataDxfId="938"/>
    <tableColumn id="205" name="Inter School sports 14" totalsRowFunction="sum" dataDxfId="937"/>
    <tableColumn id="206" name="Inter School sports 15" totalsRowFunction="sum" dataDxfId="936"/>
    <tableColumn id="207" name="Inter School sports 16" totalsRowFunction="sum" dataDxfId="935"/>
    <tableColumn id="208" name="Inter School sports 17" totalsRowFunction="sum" dataDxfId="934"/>
    <tableColumn id="209" name="Inter School sports 18" totalsRowFunction="sum" dataDxfId="933"/>
    <tableColumn id="210" name="Inter School sports 19" totalsRowFunction="sum" dataDxfId="932"/>
    <tableColumn id="211" name="Inter School sports 20" totalsRowFunction="sum" dataDxfId="931"/>
    <tableColumn id="212" name="Inter School sports 21" totalsRowFunction="sum" dataDxfId="930"/>
    <tableColumn id="213" name="Inter School sports 22" totalsRowFunction="sum" dataDxfId="929"/>
    <tableColumn id="214" name="Inter School sports 23" totalsRowFunction="sum" dataDxfId="928"/>
    <tableColumn id="215" name="Inter School sports 24" totalsRowFunction="sum" dataDxfId="927"/>
    <tableColumn id="216" name="Inter School sports 25" totalsRowFunction="sum" dataDxfId="926"/>
    <tableColumn id="217" name="Inter School sports 26" totalsRowFunction="sum" dataDxfId="925"/>
    <tableColumn id="218" name="Inter School sports 27" totalsRowFunction="sum" dataDxfId="924"/>
    <tableColumn id="219" name="Inter School sports 28" totalsRowFunction="sum" dataDxfId="923"/>
    <tableColumn id="220" name="Inter School sports 29" totalsRowFunction="sum" dataDxfId="922"/>
    <tableColumn id="221" name="Inter School sports 30" totalsRowFunction="sum" dataDxfId="921"/>
    <tableColumn id="222" name="Inter School sports 31" totalsRowFunction="sum" dataDxfId="920"/>
    <tableColumn id="223" name="Inter School sports 32" totalsRowFunction="sum" dataDxfId="919"/>
    <tableColumn id="224" name="Inter School sports 33" totalsRowFunction="sum" dataDxfId="918"/>
    <tableColumn id="225" name="Inter School sports 34" totalsRowFunction="sum" dataDxfId="917"/>
    <tableColumn id="226" name="Inter School sports 35" totalsRowFunction="sum" dataDxfId="916"/>
    <tableColumn id="227" name="Inter School sports 36" totalsRowFunction="sum" dataDxfId="915"/>
    <tableColumn id="228" name="Inter School sports 37" totalsRowFunction="sum" dataDxfId="914"/>
    <tableColumn id="229" name="Inter School sports 38" totalsRowFunction="sum" dataDxfId="913"/>
    <tableColumn id="230" name="Inter School sports 39" totalsRowFunction="sum" dataDxfId="912"/>
    <tableColumn id="231" name="Inter School sports 40" totalsRowFunction="sum" dataDxfId="911"/>
    <tableColumn id="232" name="Inter School sports 41" totalsRowFunction="sum" dataDxfId="910"/>
    <tableColumn id="233" name="Inter School sports 42" totalsRowFunction="sum" dataDxfId="909"/>
    <tableColumn id="234" name="Inter School sports 43" totalsRowFunction="sum" dataDxfId="908"/>
    <tableColumn id="235" name="Inter School sports 44" totalsRowFunction="sum" dataDxfId="907"/>
    <tableColumn id="236" name="Inter School sports 45" totalsRowFunction="sum" dataDxfId="906"/>
    <tableColumn id="237" name="Inter School sports 46" totalsRowFunction="sum" dataDxfId="905"/>
    <tableColumn id="238" name="Inter School sports 47" totalsRowFunction="sum" dataDxfId="904"/>
    <tableColumn id="239" name="Inter School sports 48" totalsRowFunction="sum" dataDxfId="903"/>
    <tableColumn id="240" name="Inter School sports 49" totalsRowFunction="sum" dataDxfId="902"/>
    <tableColumn id="241" name="Inter School sports 50" totalsRowFunction="sum" dataDxfId="901"/>
    <tableColumn id="134" name="Community club (type name of club(s). All clubs will count as '1'" dataDxfId="900"/>
  </tableColumns>
  <tableStyleInfo name="TableStyleLight21" showFirstColumn="0" showLastColumn="0" showRowStripes="1" showColumnStripes="1"/>
</table>
</file>

<file path=xl/tables/table6.xml><?xml version="1.0" encoding="utf-8"?>
<table xmlns="http://schemas.openxmlformats.org/spreadsheetml/2006/main" id="1" name="Table1" displayName="Table1" ref="A3:HI221" totalsRowCount="1" headerRowDxfId="899" dataDxfId="898">
  <autoFilter ref="A3:HI220"/>
  <tableColumns count="217">
    <tableColumn id="1" name="First Name" totalsRowLabel="Total" dataDxfId="897"/>
    <tableColumn id="2" name="Surname" dataDxfId="896"/>
    <tableColumn id="3" name="Gender" dataDxfId="895"/>
    <tableColumn id="4" name="Class Name" dataDxfId="894"/>
    <tableColumn id="5" name="FSM / PP" totalsRowFunction="sum" dataDxfId="893"/>
    <tableColumn id="6" name="Ethnically Diverse" totalsRowFunction="sum" dataDxfId="892"/>
    <tableColumn id="7" name="EAL" totalsRowFunction="sum" dataDxfId="891"/>
    <tableColumn id="8" name="SEN" totalsRowFunction="sum" dataDxfId="890"/>
    <tableColumn id="9" name="Young Leader" totalsRowFunction="sum" dataDxfId="889"/>
    <tableColumn id="10" name="Least active" totalsRowFunction="sum" dataDxfId="888"/>
    <tableColumn id="129" name="Total Challenges" totalsRowFunction="sum" dataDxfId="887" totalsRowDxfId="886">
      <calculatedColumnFormula>SUM(Table1[[#This Row],[Challenge 1]:[Challenge 50]])</calculatedColumnFormula>
    </tableColumn>
    <tableColumn id="130" name="Total Ex-C Clubs" totalsRowFunction="sum" dataDxfId="885" totalsRowDxfId="884">
      <calculatedColumnFormula>SUM(Table1[[#This Row],[Club 1]:[Club 50]])</calculatedColumnFormula>
    </tableColumn>
    <tableColumn id="131" name="Total Intra-School Sports" totalsRowFunction="sum" dataDxfId="883" totalsRowDxfId="882">
      <calculatedColumnFormula>SUM(Table1[[#This Row],[Intra-school sports 1]:[Intra-school sports 50]])</calculatedColumnFormula>
    </tableColumn>
    <tableColumn id="132" name="Total Inter-School Sports" totalsRowFunction="sum" dataDxfId="881" totalsRowDxfId="880">
      <calculatedColumnFormula>SUM(Table1[[#This Row],[Inter School sports 1]:[Inter School sports 50]])</calculatedColumnFormula>
    </tableColumn>
    <tableColumn id="133" name="Community Clubs" totalsRowFunction="sum" dataDxfId="879" totalsRowDxfId="878">
      <calculatedColumnFormula>COUNTIF(Table1[[#This Row],[Community club (type name of club(s). All clubs will count as ''1'']],"*")</calculatedColumnFormula>
    </tableColumn>
    <tableColumn id="17" name="Active Opportunity" totalsRowFunction="sum" dataDxfId="877" totalsRowDxfId="876">
      <calculatedColumnFormula>IF(OR(Table1[[#This Row],[Total Challenges]]&gt;0,Table1[[#This Row],[Total Ex-C Clubs]]&gt;0,Table1[[#This Row],[Total Intra-School Sports]]&gt;0,Table1[[#This Row],[Total Inter-School Sports]]&gt;0,Table1[[#This Row],[Community Clubs]]&gt;0),1,0)</calculatedColumnFormula>
    </tableColumn>
    <tableColumn id="11" name="Challenge 1" totalsRowFunction="sum" dataDxfId="875"/>
    <tableColumn id="12" name="Challenge 2" totalsRowFunction="sum" dataDxfId="874"/>
    <tableColumn id="13" name="Challenge 3" totalsRowFunction="sum" dataDxfId="873"/>
    <tableColumn id="14" name="Challenge 4" totalsRowFunction="sum" dataDxfId="872"/>
    <tableColumn id="15" name="Challenge 5" totalsRowFunction="sum" dataDxfId="871"/>
    <tableColumn id="16" name="Challenge 6" totalsRowFunction="sum" dataDxfId="870"/>
    <tableColumn id="25" name="Challenge 7" totalsRowFunction="sum" dataDxfId="869"/>
    <tableColumn id="27" name="Challenge 8" totalsRowFunction="sum" dataDxfId="868"/>
    <tableColumn id="28" name="Challenge 9" totalsRowFunction="sum" dataDxfId="867"/>
    <tableColumn id="29" name="Challenge 10" totalsRowFunction="sum" dataDxfId="866"/>
    <tableColumn id="30" name="Challenge 11" totalsRowFunction="sum" dataDxfId="865"/>
    <tableColumn id="88" name="Challenge 12" totalsRowFunction="sum" dataDxfId="864"/>
    <tableColumn id="89" name="Challenge 13" totalsRowFunction="sum" dataDxfId="863"/>
    <tableColumn id="90" name="Challenge 14" totalsRowFunction="sum" dataDxfId="862"/>
    <tableColumn id="91" name="Challenge 15" totalsRowFunction="sum" dataDxfId="861"/>
    <tableColumn id="92" name="Challenge 16" totalsRowFunction="sum" dataDxfId="860"/>
    <tableColumn id="93" name="Challenge 17" totalsRowFunction="sum" dataDxfId="859"/>
    <tableColumn id="94" name="Challenge 18" totalsRowFunction="sum" dataDxfId="858"/>
    <tableColumn id="95" name="Challenge 19" totalsRowFunction="sum" dataDxfId="857"/>
    <tableColumn id="96" name="Challenge 20" totalsRowFunction="sum" dataDxfId="856"/>
    <tableColumn id="97" name="Challenge 21" totalsRowFunction="sum" dataDxfId="855"/>
    <tableColumn id="98" name="Challenge 22" totalsRowFunction="sum" dataDxfId="854"/>
    <tableColumn id="99" name="Challenge 23" totalsRowFunction="sum" dataDxfId="853"/>
    <tableColumn id="100" name="Challenge 24" totalsRowFunction="sum" dataDxfId="852"/>
    <tableColumn id="101" name="Challenge 25" totalsRowFunction="sum" dataDxfId="851"/>
    <tableColumn id="102" name="Challenge 26" totalsRowFunction="sum" dataDxfId="850"/>
    <tableColumn id="103" name="Challenge 27" totalsRowFunction="sum" dataDxfId="849"/>
    <tableColumn id="104" name="Challenge 28" totalsRowFunction="sum" dataDxfId="848"/>
    <tableColumn id="105" name="Challenge 29" totalsRowFunction="sum" dataDxfId="847"/>
    <tableColumn id="106" name="Challenge 30" totalsRowFunction="sum" dataDxfId="846"/>
    <tableColumn id="107" name="Challenge 31" totalsRowFunction="sum" dataDxfId="845"/>
    <tableColumn id="108" name="Challenge 32" totalsRowFunction="sum" dataDxfId="844"/>
    <tableColumn id="109" name="Challenge 33" totalsRowFunction="sum" dataDxfId="843"/>
    <tableColumn id="110" name="Challenge 34" totalsRowFunction="sum" dataDxfId="842"/>
    <tableColumn id="111" name="Challenge 35" totalsRowFunction="sum" dataDxfId="841"/>
    <tableColumn id="112" name="Challenge 36" totalsRowFunction="sum" dataDxfId="840"/>
    <tableColumn id="113" name="Challenge 37" totalsRowFunction="sum" dataDxfId="839"/>
    <tableColumn id="114" name="Challenge 38" totalsRowFunction="sum" dataDxfId="838"/>
    <tableColumn id="115" name="Challenge 39" totalsRowFunction="sum" dataDxfId="837"/>
    <tableColumn id="116" name="Challenge 40" totalsRowFunction="sum" dataDxfId="836"/>
    <tableColumn id="117" name="Challenge 41" totalsRowFunction="sum" dataDxfId="835"/>
    <tableColumn id="118" name="Challenge 42" totalsRowFunction="sum" dataDxfId="834"/>
    <tableColumn id="119" name="Challenge 43" totalsRowFunction="sum" dataDxfId="833"/>
    <tableColumn id="120" name="Challenge 44" totalsRowFunction="sum" dataDxfId="832"/>
    <tableColumn id="121" name="Challenge 45" totalsRowFunction="sum" dataDxfId="831"/>
    <tableColumn id="122" name="Challenge 46" totalsRowFunction="sum" dataDxfId="830"/>
    <tableColumn id="123" name="Challenge 47" totalsRowFunction="sum" dataDxfId="829"/>
    <tableColumn id="124" name="Challenge 48" totalsRowFunction="sum" dataDxfId="828"/>
    <tableColumn id="125" name="Challenge 49" totalsRowFunction="sum" dataDxfId="827"/>
    <tableColumn id="126" name="Challenge 50" totalsRowFunction="sum" dataDxfId="826"/>
    <tableColumn id="18" name="Club 1" totalsRowFunction="sum" dataDxfId="825"/>
    <tableColumn id="19" name="Club 2" totalsRowFunction="sum" dataDxfId="824"/>
    <tableColumn id="20" name="Club 3" totalsRowFunction="sum" dataDxfId="823"/>
    <tableColumn id="21" name="Club 4" totalsRowFunction="sum" dataDxfId="822"/>
    <tableColumn id="22" name="Club 5" totalsRowFunction="sum" dataDxfId="821"/>
    <tableColumn id="24" name="Club 6" totalsRowFunction="sum" dataDxfId="820"/>
    <tableColumn id="26" name="Club 7" totalsRowFunction="sum" dataDxfId="819"/>
    <tableColumn id="31" name="Club 8" totalsRowFunction="sum" dataDxfId="818"/>
    <tableColumn id="32" name="Club 9" totalsRowFunction="sum" dataDxfId="817"/>
    <tableColumn id="33" name="Club 10" totalsRowFunction="sum" dataDxfId="816"/>
    <tableColumn id="41" name="Club 11" totalsRowFunction="sum" dataDxfId="815"/>
    <tableColumn id="42" name="Club 12" totalsRowFunction="sum" dataDxfId="814"/>
    <tableColumn id="43" name="Club 13" totalsRowFunction="sum" dataDxfId="813"/>
    <tableColumn id="44" name="Club 14" totalsRowFunction="sum" dataDxfId="812"/>
    <tableColumn id="45" name="Club 15" totalsRowFunction="sum" dataDxfId="811"/>
    <tableColumn id="46" name="Club 16" totalsRowFunction="sum" dataDxfId="810"/>
    <tableColumn id="47" name="Club 17" totalsRowFunction="sum" dataDxfId="809"/>
    <tableColumn id="48" name="Club 18" totalsRowFunction="sum" dataDxfId="808"/>
    <tableColumn id="56" name="Club 19" totalsRowFunction="sum" dataDxfId="807"/>
    <tableColumn id="57" name="Club 20" totalsRowFunction="sum" dataDxfId="806"/>
    <tableColumn id="58" name="Club 21" totalsRowFunction="sum" dataDxfId="805"/>
    <tableColumn id="59" name="Club 22" totalsRowFunction="sum" dataDxfId="804"/>
    <tableColumn id="60" name="Club 23" totalsRowFunction="sum" dataDxfId="803"/>
    <tableColumn id="61" name="Club 24" totalsRowFunction="sum" dataDxfId="802"/>
    <tableColumn id="62" name="Club 25" totalsRowFunction="sum" dataDxfId="801"/>
    <tableColumn id="63" name="Club 26" totalsRowFunction="sum" dataDxfId="800"/>
    <tableColumn id="64" name="Club 27" totalsRowFunction="sum" dataDxfId="799"/>
    <tableColumn id="65" name="Club 28" totalsRowFunction="sum" dataDxfId="798"/>
    <tableColumn id="66" name="Club 29" totalsRowFunction="sum" dataDxfId="797"/>
    <tableColumn id="67" name="Club 30" totalsRowFunction="sum" dataDxfId="796"/>
    <tableColumn id="68" name="Club 31" totalsRowFunction="sum" dataDxfId="795"/>
    <tableColumn id="69" name="Club 32" totalsRowFunction="sum" dataDxfId="794"/>
    <tableColumn id="70" name="Club 33" totalsRowFunction="sum" dataDxfId="793"/>
    <tableColumn id="71" name="Club 34" totalsRowFunction="sum" dataDxfId="792"/>
    <tableColumn id="72" name="Club 35" totalsRowFunction="sum" dataDxfId="791"/>
    <tableColumn id="73" name="Club 36" totalsRowFunction="sum" dataDxfId="790"/>
    <tableColumn id="74" name="Club 37" totalsRowFunction="sum" dataDxfId="789"/>
    <tableColumn id="75" name="Club 38" totalsRowFunction="sum" dataDxfId="788"/>
    <tableColumn id="76" name="Club 39" totalsRowFunction="sum" dataDxfId="787"/>
    <tableColumn id="77" name="Club 40" totalsRowFunction="sum" dataDxfId="786"/>
    <tableColumn id="78" name="Club 41" totalsRowFunction="sum" dataDxfId="785"/>
    <tableColumn id="79" name="Club 42" totalsRowFunction="sum" dataDxfId="784"/>
    <tableColumn id="80" name="Club 43" totalsRowFunction="sum" dataDxfId="783"/>
    <tableColumn id="81" name="Club 44" totalsRowFunction="sum" dataDxfId="782"/>
    <tableColumn id="82" name="Club 45" totalsRowFunction="sum" dataDxfId="781"/>
    <tableColumn id="83" name="Club 46" totalsRowFunction="sum" dataDxfId="780"/>
    <tableColumn id="84" name="Club 47" totalsRowFunction="sum" dataDxfId="779"/>
    <tableColumn id="85" name="Club 48" totalsRowFunction="sum" dataDxfId="778"/>
    <tableColumn id="86" name="Club 49" totalsRowFunction="sum" dataDxfId="777"/>
    <tableColumn id="87" name="Club 50" totalsRowFunction="sum" dataDxfId="776"/>
    <tableColumn id="34" name="Intra-school sports 1" totalsRowFunction="sum" dataDxfId="775"/>
    <tableColumn id="35" name="Intra-school sports 2" totalsRowFunction="sum" dataDxfId="774"/>
    <tableColumn id="36" name="Intra-school sports 3" totalsRowFunction="sum" dataDxfId="773"/>
    <tableColumn id="37" name="Intra-school sports 4" totalsRowFunction="sum" dataDxfId="772"/>
    <tableColumn id="38" name="Intra-school sports 5" totalsRowFunction="sum" dataDxfId="771"/>
    <tableColumn id="39" name="Intra-school sports 6" totalsRowFunction="sum" dataDxfId="770"/>
    <tableColumn id="151" name="Intra-school sports 7" totalsRowFunction="sum" dataDxfId="769"/>
    <tableColumn id="152" name="Intra-school sports 8" totalsRowFunction="sum" dataDxfId="768"/>
    <tableColumn id="153" name="Intra-school sports 9" totalsRowFunction="sum" dataDxfId="767"/>
    <tableColumn id="154" name="Intra-school sports 10" totalsRowFunction="sum" dataDxfId="766"/>
    <tableColumn id="155" name="Intra-school sports 11" totalsRowFunction="sum" dataDxfId="765"/>
    <tableColumn id="156" name="Intra-school sports 12" totalsRowFunction="sum" dataDxfId="764"/>
    <tableColumn id="157" name="Intra-school sports 13" totalsRowFunction="sum" dataDxfId="763"/>
    <tableColumn id="158" name="Intra-school sports 14" totalsRowFunction="sum" dataDxfId="762"/>
    <tableColumn id="159" name="Intra-school sports 15" totalsRowFunction="sum" dataDxfId="761"/>
    <tableColumn id="160" name="Intra-school sports 16" totalsRowFunction="sum" dataDxfId="760"/>
    <tableColumn id="161" name="Intra-school sports 17" totalsRowFunction="sum" dataDxfId="759"/>
    <tableColumn id="162" name="Intra-school sports 18" totalsRowFunction="sum" dataDxfId="758"/>
    <tableColumn id="163" name="Intra-school sports 19" totalsRowFunction="sum" dataDxfId="757"/>
    <tableColumn id="164" name="Intra-school sports 20" totalsRowFunction="sum" dataDxfId="756"/>
    <tableColumn id="165" name="Intra-school sports 21" totalsRowFunction="sum" dataDxfId="755"/>
    <tableColumn id="166" name="Intra-school sports 22" totalsRowFunction="sum" dataDxfId="754"/>
    <tableColumn id="167" name="Intra-school sports 23" totalsRowFunction="sum" dataDxfId="753"/>
    <tableColumn id="168" name="Intra-school sports 24" totalsRowFunction="sum" dataDxfId="752"/>
    <tableColumn id="169" name="Intra-school sports 25" totalsRowFunction="sum" dataDxfId="751"/>
    <tableColumn id="170" name="Intra-school sports 26" totalsRowFunction="sum" dataDxfId="750"/>
    <tableColumn id="171" name="Intra-school sports 27" totalsRowFunction="sum" dataDxfId="749"/>
    <tableColumn id="172" name="Intra-school sports 28" totalsRowFunction="sum" dataDxfId="748"/>
    <tableColumn id="173" name="Intra-school sports 29" totalsRowFunction="sum" dataDxfId="747"/>
    <tableColumn id="174" name="Intra-school sports 30" totalsRowFunction="sum" dataDxfId="746"/>
    <tableColumn id="175" name="Intra-school sports 31" totalsRowFunction="sum" dataDxfId="745"/>
    <tableColumn id="176" name="Intra-school sports 32" totalsRowFunction="sum" dataDxfId="744"/>
    <tableColumn id="177" name="Intra-school sports 33" totalsRowFunction="sum" dataDxfId="743"/>
    <tableColumn id="178" name="Intra-school sports 34" totalsRowFunction="sum" dataDxfId="742"/>
    <tableColumn id="179" name="Intra-school sports 35" totalsRowFunction="sum" dataDxfId="741"/>
    <tableColumn id="180" name="Intra-school sports 36" totalsRowFunction="sum" dataDxfId="740"/>
    <tableColumn id="181" name="Intra-school sports 37" totalsRowFunction="sum" dataDxfId="739"/>
    <tableColumn id="182" name="Intra-school sports 38" totalsRowFunction="sum" dataDxfId="738"/>
    <tableColumn id="183" name="Intra-school sports 39" totalsRowFunction="sum" dataDxfId="737"/>
    <tableColumn id="184" name="Intra-school sports 40" totalsRowFunction="sum" dataDxfId="736"/>
    <tableColumn id="185" name="Intra-school sports 41" totalsRowFunction="sum" dataDxfId="735"/>
    <tableColumn id="186" name="Intra-school sports 42" totalsRowFunction="sum" dataDxfId="734"/>
    <tableColumn id="187" name="Intra-school sports 43" totalsRowFunction="sum" dataDxfId="733"/>
    <tableColumn id="188" name="Intra-school sports 44" totalsRowFunction="sum" dataDxfId="732"/>
    <tableColumn id="189" name="Intra-school sports 45" totalsRowFunction="sum" dataDxfId="731"/>
    <tableColumn id="190" name="Intra-school sports 46" totalsRowFunction="sum" dataDxfId="730"/>
    <tableColumn id="191" name="Intra-school sports 47" totalsRowFunction="sum" dataDxfId="729"/>
    <tableColumn id="192" name="Intra-school sports 48" totalsRowFunction="sum" dataDxfId="728"/>
    <tableColumn id="193" name="Intra-school sports 49" totalsRowFunction="sum" dataDxfId="727"/>
    <tableColumn id="194" name="Intra-school sports 50" totalsRowFunction="sum" dataDxfId="726"/>
    <tableColumn id="49" name="Inter School sports 1" totalsRowFunction="sum" dataDxfId="725"/>
    <tableColumn id="50" name="Inter School sports 2" totalsRowFunction="sum" dataDxfId="724"/>
    <tableColumn id="51" name="Inter School sports 3" totalsRowFunction="sum" dataDxfId="723"/>
    <tableColumn id="52" name="Inter School sports 4" totalsRowFunction="sum" dataDxfId="722"/>
    <tableColumn id="53" name="Inter School sports 5" totalsRowFunction="sum" dataDxfId="721"/>
    <tableColumn id="54" name="Inter School sports 6" totalsRowFunction="sum" dataDxfId="720"/>
    <tableColumn id="198" name="Inter School sports 7" totalsRowFunction="sum" dataDxfId="719"/>
    <tableColumn id="199" name="Inter School sports 8" totalsRowFunction="sum" dataDxfId="718"/>
    <tableColumn id="200" name="Inter School sports 9" totalsRowFunction="sum" dataDxfId="717"/>
    <tableColumn id="201" name="Inter School sports 10" totalsRowFunction="sum" dataDxfId="716"/>
    <tableColumn id="202" name="Inter School sports 11" totalsRowFunction="sum" dataDxfId="715"/>
    <tableColumn id="203" name="Inter School sports 12" totalsRowFunction="sum" dataDxfId="714"/>
    <tableColumn id="204" name="Inter School sports 13" totalsRowFunction="sum" dataDxfId="713"/>
    <tableColumn id="205" name="Inter School sports 14" totalsRowFunction="sum" dataDxfId="712"/>
    <tableColumn id="206" name="Inter School sports 15" totalsRowFunction="sum" dataDxfId="711"/>
    <tableColumn id="207" name="Inter School sports 16" totalsRowFunction="sum" dataDxfId="710"/>
    <tableColumn id="208" name="Inter School sports 17" totalsRowFunction="sum" dataDxfId="709"/>
    <tableColumn id="209" name="Inter School sports 18" totalsRowFunction="sum" dataDxfId="708"/>
    <tableColumn id="210" name="Inter School sports 19" totalsRowFunction="sum" dataDxfId="707"/>
    <tableColumn id="211" name="Inter School sports 20" totalsRowFunction="sum" dataDxfId="706"/>
    <tableColumn id="212" name="Inter School sports 21" totalsRowFunction="sum" dataDxfId="705"/>
    <tableColumn id="213" name="Inter School sports 22" totalsRowFunction="sum" dataDxfId="704"/>
    <tableColumn id="214" name="Inter School sports 23" totalsRowFunction="sum" dataDxfId="703"/>
    <tableColumn id="215" name="Inter School sports 24" totalsRowFunction="sum" dataDxfId="702"/>
    <tableColumn id="216" name="Inter School sports 25" totalsRowFunction="sum" dataDxfId="701"/>
    <tableColumn id="217" name="Inter School sports 26" totalsRowFunction="sum" dataDxfId="700"/>
    <tableColumn id="218" name="Inter School sports 27" totalsRowFunction="sum" dataDxfId="699"/>
    <tableColumn id="219" name="Inter School sports 28" totalsRowFunction="sum" dataDxfId="698"/>
    <tableColumn id="220" name="Inter School sports 29" totalsRowFunction="sum" dataDxfId="697"/>
    <tableColumn id="221" name="Inter School sports 30" totalsRowFunction="sum" dataDxfId="696"/>
    <tableColumn id="222" name="Inter School sports 31" totalsRowFunction="sum" dataDxfId="695"/>
    <tableColumn id="223" name="Inter School sports 32" totalsRowFunction="sum" dataDxfId="694"/>
    <tableColumn id="224" name="Inter School sports 33" totalsRowFunction="sum" dataDxfId="693"/>
    <tableColumn id="225" name="Inter School sports 34" totalsRowFunction="sum" dataDxfId="692"/>
    <tableColumn id="226" name="Inter School sports 35" totalsRowFunction="sum" dataDxfId="691"/>
    <tableColumn id="227" name="Inter School sports 36" totalsRowFunction="sum" dataDxfId="690"/>
    <tableColumn id="228" name="Inter School sports 37" totalsRowFunction="sum" dataDxfId="689"/>
    <tableColumn id="229" name="Inter School sports 38" totalsRowFunction="sum" dataDxfId="688"/>
    <tableColumn id="230" name="Inter School sports 39" totalsRowFunction="sum" dataDxfId="687"/>
    <tableColumn id="231" name="Inter School sports 40" totalsRowFunction="sum" dataDxfId="686"/>
    <tableColumn id="232" name="Inter School sports 41" totalsRowFunction="sum" dataDxfId="685"/>
    <tableColumn id="233" name="Inter School sports 42" totalsRowFunction="sum" dataDxfId="684"/>
    <tableColumn id="234" name="Inter School sports 43" totalsRowFunction="sum" dataDxfId="683"/>
    <tableColumn id="235" name="Inter School sports 44" totalsRowFunction="sum" dataDxfId="682"/>
    <tableColumn id="236" name="Inter School sports 45" totalsRowFunction="sum" dataDxfId="681"/>
    <tableColumn id="237" name="Inter School sports 46" totalsRowFunction="sum" dataDxfId="680"/>
    <tableColumn id="238" name="Inter School sports 47" totalsRowFunction="sum" dataDxfId="679"/>
    <tableColumn id="239" name="Inter School sports 48" totalsRowFunction="sum" dataDxfId="678"/>
    <tableColumn id="240" name="Inter School sports 49" totalsRowFunction="sum" dataDxfId="677"/>
    <tableColumn id="241" name="Inter School sports 50" totalsRowFunction="sum" dataDxfId="676"/>
    <tableColumn id="134" name="Community club (type name of club(s). All clubs will count as '1'" dataDxfId="675"/>
  </tableColumns>
  <tableStyleInfo name="TableStyleLight21" showFirstColumn="0" showLastColumn="0" showRowStripes="1" showColumnStripes="1"/>
</table>
</file>

<file path=xl/tables/table7.xml><?xml version="1.0" encoding="utf-8"?>
<table xmlns="http://schemas.openxmlformats.org/spreadsheetml/2006/main" id="5" name="Table16" displayName="Table16" ref="A3:HI221" totalsRowCount="1" headerRowDxfId="674" dataDxfId="673">
  <autoFilter ref="A3:HI220"/>
  <tableColumns count="217">
    <tableColumn id="1" name="First Name" totalsRowLabel="Total" dataDxfId="672"/>
    <tableColumn id="2" name="Surname" dataDxfId="671"/>
    <tableColumn id="3" name="Gender" dataDxfId="670"/>
    <tableColumn id="4" name="Class Name" dataDxfId="669"/>
    <tableColumn id="5" name="FSM / PP" totalsRowFunction="sum" dataDxfId="668"/>
    <tableColumn id="6" name="Ethnically Diverse" totalsRowFunction="sum" dataDxfId="667"/>
    <tableColumn id="7" name="EAL" totalsRowFunction="sum" dataDxfId="666"/>
    <tableColumn id="8" name="SEN" totalsRowFunction="sum" dataDxfId="665"/>
    <tableColumn id="9" name="Young Leader" totalsRowFunction="sum" dataDxfId="664"/>
    <tableColumn id="10" name="Least active" totalsRowFunction="sum" dataDxfId="663"/>
    <tableColumn id="129" name="Total Challenges" totalsRowFunction="sum" dataDxfId="662" totalsRowDxfId="661">
      <calculatedColumnFormula>SUM(Table16[[#This Row],[Challenge 1]:[Challenge 50]])</calculatedColumnFormula>
    </tableColumn>
    <tableColumn id="130" name="Total Ex-C Clubs" totalsRowFunction="sum" dataDxfId="660" totalsRowDxfId="659">
      <calculatedColumnFormula>SUM(Table16[[#This Row],[Club 1]:[Club 50]])</calculatedColumnFormula>
    </tableColumn>
    <tableColumn id="131" name="Total Intra-School Sports" totalsRowFunction="sum" dataDxfId="658" totalsRowDxfId="657">
      <calculatedColumnFormula>SUM(Table16[[#This Row],[Intra-school sports 1]:[Intra-school sports 50]])</calculatedColumnFormula>
    </tableColumn>
    <tableColumn id="132" name="Total Inter-School Sports" totalsRowFunction="sum" dataDxfId="656" totalsRowDxfId="655">
      <calculatedColumnFormula>SUM(Table16[[#This Row],[Inter School sports 1]:[Inter School sports 50]])</calculatedColumnFormula>
    </tableColumn>
    <tableColumn id="133" name="Community Clubs" totalsRowFunction="sum" dataDxfId="654" totalsRowDxfId="653">
      <calculatedColumnFormula>COUNTIF(Table16[[#This Row],[Community club (type name of club(s). All clubs will count as ''1'']],"*")</calculatedColumnFormula>
    </tableColumn>
    <tableColumn id="17" name="Active Opportunity" totalsRowFunction="sum" dataDxfId="652" totalsRowDxfId="651">
      <calculatedColumnFormula>IF(OR(Table16[[#This Row],[Total Challenges]]&gt;0,Table16[[#This Row],[Total Ex-C Clubs]]&gt;0,Table16[[#This Row],[Total Intra-School Sports]]&gt;0,Table16[[#This Row],[Total Inter-School Sports]]&gt;0,Table16[[#This Row],[Community Clubs]]&gt;0),1,0)</calculatedColumnFormula>
    </tableColumn>
    <tableColumn id="11" name="Challenge 1" totalsRowFunction="sum" dataDxfId="650"/>
    <tableColumn id="12" name="Challenge 2" totalsRowFunction="sum" dataDxfId="649"/>
    <tableColumn id="13" name="Challenge 3" totalsRowFunction="sum" dataDxfId="648"/>
    <tableColumn id="14" name="Challenge 4" totalsRowFunction="sum" dataDxfId="647"/>
    <tableColumn id="15" name="Challenge 5" totalsRowFunction="sum" dataDxfId="646"/>
    <tableColumn id="16" name="Challenge 6" totalsRowFunction="sum" dataDxfId="645"/>
    <tableColumn id="25" name="Challenge 7" totalsRowFunction="sum" dataDxfId="644"/>
    <tableColumn id="27" name="Challenge 8" totalsRowFunction="sum" dataDxfId="643"/>
    <tableColumn id="28" name="Challenge 9" totalsRowFunction="sum" dataDxfId="642"/>
    <tableColumn id="29" name="Challenge 10" totalsRowFunction="sum" dataDxfId="641"/>
    <tableColumn id="30" name="Challenge 11" totalsRowFunction="sum" dataDxfId="640"/>
    <tableColumn id="88" name="Challenge 12" totalsRowFunction="sum" dataDxfId="639"/>
    <tableColumn id="89" name="Challenge 13" totalsRowFunction="sum" dataDxfId="638"/>
    <tableColumn id="90" name="Challenge 14" totalsRowFunction="sum" dataDxfId="637"/>
    <tableColumn id="91" name="Challenge 15" totalsRowFunction="sum" dataDxfId="636"/>
    <tableColumn id="92" name="Challenge 16" totalsRowFunction="sum" dataDxfId="635"/>
    <tableColumn id="93" name="Challenge 17" totalsRowFunction="sum" dataDxfId="634"/>
    <tableColumn id="94" name="Challenge 18" totalsRowFunction="sum" dataDxfId="633"/>
    <tableColumn id="95" name="Challenge 19" totalsRowFunction="sum" dataDxfId="632"/>
    <tableColumn id="96" name="Challenge 20" totalsRowFunction="sum" dataDxfId="631"/>
    <tableColumn id="97" name="Challenge 21" totalsRowFunction="sum" dataDxfId="630"/>
    <tableColumn id="98" name="Challenge 22" totalsRowFunction="sum" dataDxfId="629"/>
    <tableColumn id="99" name="Challenge 23" totalsRowFunction="sum" dataDxfId="628"/>
    <tableColumn id="100" name="Challenge 24" totalsRowFunction="sum" dataDxfId="627"/>
    <tableColumn id="101" name="Challenge 25" totalsRowFunction="sum" dataDxfId="626"/>
    <tableColumn id="102" name="Challenge 26" totalsRowFunction="sum" dataDxfId="625"/>
    <tableColumn id="103" name="Challenge 27" totalsRowFunction="sum" dataDxfId="624"/>
    <tableColumn id="104" name="Challenge 28" totalsRowFunction="sum" dataDxfId="623"/>
    <tableColumn id="105" name="Challenge 29" totalsRowFunction="sum" dataDxfId="622"/>
    <tableColumn id="106" name="Challenge 30" totalsRowFunction="sum" dataDxfId="621"/>
    <tableColumn id="107" name="Challenge 31" totalsRowFunction="sum" dataDxfId="620"/>
    <tableColumn id="108" name="Challenge 32" totalsRowFunction="sum" dataDxfId="619"/>
    <tableColumn id="109" name="Challenge 33" totalsRowFunction="sum" dataDxfId="618"/>
    <tableColumn id="110" name="Challenge 34" totalsRowFunction="sum" dataDxfId="617"/>
    <tableColumn id="111" name="Challenge 35" totalsRowFunction="sum" dataDxfId="616"/>
    <tableColumn id="112" name="Challenge 36" totalsRowFunction="sum" dataDxfId="615"/>
    <tableColumn id="113" name="Challenge 37" totalsRowFunction="sum" dataDxfId="614"/>
    <tableColumn id="114" name="Challenge 38" totalsRowFunction="sum" dataDxfId="613"/>
    <tableColumn id="115" name="Challenge 39" totalsRowFunction="sum" dataDxfId="612"/>
    <tableColumn id="116" name="Challenge 40" totalsRowFunction="sum" dataDxfId="611"/>
    <tableColumn id="117" name="Challenge 41" totalsRowFunction="sum" dataDxfId="610"/>
    <tableColumn id="118" name="Challenge 42" totalsRowFunction="sum" dataDxfId="609"/>
    <tableColumn id="119" name="Challenge 43" totalsRowFunction="sum" dataDxfId="608"/>
    <tableColumn id="120" name="Challenge 44" totalsRowFunction="sum" dataDxfId="607"/>
    <tableColumn id="121" name="Challenge 45" totalsRowFunction="sum" dataDxfId="606"/>
    <tableColumn id="122" name="Challenge 46" totalsRowFunction="sum" dataDxfId="605"/>
    <tableColumn id="123" name="Challenge 47" totalsRowFunction="sum" dataDxfId="604"/>
    <tableColumn id="124" name="Challenge 48" totalsRowFunction="sum" dataDxfId="603"/>
    <tableColumn id="125" name="Challenge 49" totalsRowFunction="sum" dataDxfId="602"/>
    <tableColumn id="126" name="Challenge 50" totalsRowFunction="sum" dataDxfId="601"/>
    <tableColumn id="18" name="Club 1" totalsRowFunction="sum" dataDxfId="600"/>
    <tableColumn id="19" name="Club 2" totalsRowFunction="sum" dataDxfId="599"/>
    <tableColumn id="20" name="Club 3" totalsRowFunction="sum" dataDxfId="598"/>
    <tableColumn id="21" name="Club 4" totalsRowFunction="sum" dataDxfId="597"/>
    <tableColumn id="22" name="Club 5" totalsRowFunction="sum" dataDxfId="596"/>
    <tableColumn id="24" name="Club 6" totalsRowFunction="sum" dataDxfId="595"/>
    <tableColumn id="26" name="Club 7" totalsRowFunction="sum" dataDxfId="594"/>
    <tableColumn id="31" name="Club 8" totalsRowFunction="sum" dataDxfId="593"/>
    <tableColumn id="32" name="Club 9" totalsRowFunction="sum" dataDxfId="592"/>
    <tableColumn id="33" name="Club 10" totalsRowFunction="sum" dataDxfId="591"/>
    <tableColumn id="41" name="Club 11" totalsRowFunction="sum" dataDxfId="590"/>
    <tableColumn id="42" name="Club 12" totalsRowFunction="sum" dataDxfId="589"/>
    <tableColumn id="43" name="Club 13" totalsRowFunction="sum" dataDxfId="588"/>
    <tableColumn id="44" name="Club 14" totalsRowFunction="sum" dataDxfId="587"/>
    <tableColumn id="45" name="Club 15" totalsRowFunction="sum" dataDxfId="586"/>
    <tableColumn id="46" name="Club 16" totalsRowFunction="sum" dataDxfId="585"/>
    <tableColumn id="47" name="Club 17" totalsRowFunction="sum" dataDxfId="584"/>
    <tableColumn id="48" name="Club 18" totalsRowFunction="sum" dataDxfId="583"/>
    <tableColumn id="56" name="Club 19" totalsRowFunction="sum" dataDxfId="582"/>
    <tableColumn id="57" name="Club 20" totalsRowFunction="sum" dataDxfId="581"/>
    <tableColumn id="58" name="Club 21" totalsRowFunction="sum" dataDxfId="580"/>
    <tableColumn id="59" name="Club 22" totalsRowFunction="sum" dataDxfId="579"/>
    <tableColumn id="60" name="Club 23" totalsRowFunction="sum" dataDxfId="578"/>
    <tableColumn id="61" name="Club 24" totalsRowFunction="sum" dataDxfId="577"/>
    <tableColumn id="62" name="Club 25" totalsRowFunction="sum" dataDxfId="576"/>
    <tableColumn id="63" name="Club 26" totalsRowFunction="sum" dataDxfId="575"/>
    <tableColumn id="64" name="Club 27" totalsRowFunction="sum" dataDxfId="574"/>
    <tableColumn id="65" name="Club 28" totalsRowFunction="sum" dataDxfId="573"/>
    <tableColumn id="66" name="Club 29" totalsRowFunction="sum" dataDxfId="572"/>
    <tableColumn id="67" name="Club 30" totalsRowFunction="sum" dataDxfId="571"/>
    <tableColumn id="68" name="Club 31" totalsRowFunction="sum" dataDxfId="570"/>
    <tableColumn id="69" name="Club 32" totalsRowFunction="sum" dataDxfId="569"/>
    <tableColumn id="70" name="Club 33" totalsRowFunction="sum" dataDxfId="568"/>
    <tableColumn id="71" name="Club 34" totalsRowFunction="sum" dataDxfId="567"/>
    <tableColumn id="72" name="Club 35" totalsRowFunction="sum" dataDxfId="566"/>
    <tableColumn id="73" name="Club 36" totalsRowFunction="sum" dataDxfId="565"/>
    <tableColumn id="74" name="Club 37" totalsRowFunction="sum" dataDxfId="564"/>
    <tableColumn id="75" name="Club 38" totalsRowFunction="sum" dataDxfId="563"/>
    <tableColumn id="76" name="Club 39" totalsRowFunction="sum" dataDxfId="562"/>
    <tableColumn id="77" name="Club 40" totalsRowFunction="sum" dataDxfId="561"/>
    <tableColumn id="78" name="Club 41" totalsRowFunction="sum" dataDxfId="560"/>
    <tableColumn id="79" name="Club 42" totalsRowFunction="sum" dataDxfId="559"/>
    <tableColumn id="80" name="Club 43" totalsRowFunction="sum" dataDxfId="558"/>
    <tableColumn id="81" name="Club 44" totalsRowFunction="sum" dataDxfId="557"/>
    <tableColumn id="82" name="Club 45" totalsRowFunction="sum" dataDxfId="556"/>
    <tableColumn id="83" name="Club 46" totalsRowFunction="sum" dataDxfId="555"/>
    <tableColumn id="84" name="Club 47" totalsRowFunction="sum" dataDxfId="554"/>
    <tableColumn id="85" name="Club 48" totalsRowFunction="sum" dataDxfId="553"/>
    <tableColumn id="86" name="Club 49" totalsRowFunction="sum" dataDxfId="552"/>
    <tableColumn id="87" name="Club 50" totalsRowFunction="sum" dataDxfId="551"/>
    <tableColumn id="34" name="Intra-school sports 1" totalsRowFunction="sum" dataDxfId="550"/>
    <tableColumn id="35" name="Intra-school sports 2" totalsRowFunction="sum" dataDxfId="549"/>
    <tableColumn id="36" name="Intra-school sports 3" totalsRowFunction="sum" dataDxfId="548"/>
    <tableColumn id="37" name="Intra-school sports 4" totalsRowFunction="sum" dataDxfId="547"/>
    <tableColumn id="38" name="Intra-school sports 5" totalsRowFunction="sum" dataDxfId="546"/>
    <tableColumn id="39" name="Intra-school sports 6" totalsRowFunction="sum" dataDxfId="545"/>
    <tableColumn id="151" name="Intra-school sports 7" totalsRowFunction="sum" dataDxfId="544"/>
    <tableColumn id="152" name="Intra-school sports 8" totalsRowFunction="sum" dataDxfId="543"/>
    <tableColumn id="153" name="Intra-school sports 9" totalsRowFunction="sum" dataDxfId="542"/>
    <tableColumn id="154" name="Intra-school sports 10" totalsRowFunction="sum" dataDxfId="541"/>
    <tableColumn id="155" name="Intra-school sports 11" totalsRowFunction="sum" dataDxfId="540"/>
    <tableColumn id="156" name="Intra-school sports 12" totalsRowFunction="sum" dataDxfId="539"/>
    <tableColumn id="157" name="Intra-school sports 13" totalsRowFunction="sum" dataDxfId="538"/>
    <tableColumn id="158" name="Intra-school sports 14" totalsRowFunction="sum" dataDxfId="537"/>
    <tableColumn id="159" name="Intra-school sports 15" totalsRowFunction="sum" dataDxfId="536"/>
    <tableColumn id="160" name="Intra-school sports 16" totalsRowFunction="sum" dataDxfId="535"/>
    <tableColumn id="161" name="Intra-school sports 17" totalsRowFunction="sum" dataDxfId="534"/>
    <tableColumn id="162" name="Intra-school sports 18" totalsRowFunction="sum" dataDxfId="533"/>
    <tableColumn id="163" name="Intra-school sports 19" totalsRowFunction="sum" dataDxfId="532"/>
    <tableColumn id="164" name="Intra-school sports 20" totalsRowFunction="sum" dataDxfId="531"/>
    <tableColumn id="165" name="Intra-school sports 21" totalsRowFunction="sum" dataDxfId="530"/>
    <tableColumn id="166" name="Intra-school sports 22" totalsRowFunction="sum" dataDxfId="529"/>
    <tableColumn id="167" name="Intra-school sports 23" totalsRowFunction="sum" dataDxfId="528"/>
    <tableColumn id="168" name="Intra-school sports 24" totalsRowFunction="sum" dataDxfId="527"/>
    <tableColumn id="169" name="Intra-school sports 25" totalsRowFunction="sum" dataDxfId="526"/>
    <tableColumn id="170" name="Intra-school sports 26" totalsRowFunction="sum" dataDxfId="525"/>
    <tableColumn id="171" name="Intra-school sports 27" totalsRowFunction="sum" dataDxfId="524"/>
    <tableColumn id="172" name="Intra-school sports 28" totalsRowFunction="sum" dataDxfId="523"/>
    <tableColumn id="173" name="Intra-school sports 29" totalsRowFunction="sum" dataDxfId="522"/>
    <tableColumn id="174" name="Intra-school sports 30" totalsRowFunction="sum" dataDxfId="521"/>
    <tableColumn id="175" name="Intra-school sports 31" totalsRowFunction="sum" dataDxfId="520"/>
    <tableColumn id="176" name="Intra-school sports 32" totalsRowFunction="sum" dataDxfId="519"/>
    <tableColumn id="177" name="Intra-school sports 33" totalsRowFunction="sum" dataDxfId="518"/>
    <tableColumn id="178" name="Intra-school sports 34" totalsRowFunction="sum" dataDxfId="517"/>
    <tableColumn id="179" name="Intra-school sports 35" totalsRowFunction="sum" dataDxfId="516"/>
    <tableColumn id="180" name="Intra-school sports 36" totalsRowFunction="sum" dataDxfId="515"/>
    <tableColumn id="181" name="Intra-school sports 37" totalsRowFunction="sum" dataDxfId="514"/>
    <tableColumn id="182" name="Intra-school sports 38" totalsRowFunction="sum" dataDxfId="513"/>
    <tableColumn id="183" name="Intra-school sports 39" totalsRowFunction="sum" dataDxfId="512"/>
    <tableColumn id="184" name="Intra-school sports 40" totalsRowFunction="sum" dataDxfId="511"/>
    <tableColumn id="185" name="Intra-school sports 41" totalsRowFunction="sum" dataDxfId="510"/>
    <tableColumn id="186" name="Intra-school sports 42" totalsRowFunction="sum" dataDxfId="509"/>
    <tableColumn id="187" name="Intra-school sports 43" totalsRowFunction="sum" dataDxfId="508"/>
    <tableColumn id="188" name="Intra-school sports 44" totalsRowFunction="sum" dataDxfId="507"/>
    <tableColumn id="189" name="Intra-school sports 45" totalsRowFunction="sum" dataDxfId="506"/>
    <tableColumn id="190" name="Intra-school sports 46" totalsRowFunction="sum" dataDxfId="505"/>
    <tableColumn id="191" name="Intra-school sports 47" totalsRowFunction="sum" dataDxfId="504"/>
    <tableColumn id="192" name="Intra-school sports 48" totalsRowFunction="sum" dataDxfId="503"/>
    <tableColumn id="193" name="Intra-school sports 49" totalsRowFunction="sum" dataDxfId="502"/>
    <tableColumn id="194" name="Intra-school sports 50" totalsRowFunction="sum" dataDxfId="501"/>
    <tableColumn id="49" name="Inter School sports 1" totalsRowFunction="sum" dataDxfId="500"/>
    <tableColumn id="50" name="Inter School sports 2" totalsRowFunction="sum" dataDxfId="499"/>
    <tableColumn id="51" name="Inter School sports 3" totalsRowFunction="sum" dataDxfId="498"/>
    <tableColumn id="52" name="Inter School sports 4" totalsRowFunction="sum" dataDxfId="497"/>
    <tableColumn id="53" name="Inter School sports 5" totalsRowFunction="sum" dataDxfId="496"/>
    <tableColumn id="54" name="Inter School sports 6" totalsRowFunction="sum" dataDxfId="495"/>
    <tableColumn id="198" name="Inter School sports 7" totalsRowFunction="sum" dataDxfId="494"/>
    <tableColumn id="199" name="Inter School sports 8" totalsRowFunction="sum" dataDxfId="493"/>
    <tableColumn id="200" name="Inter School sports 9" totalsRowFunction="sum" dataDxfId="492"/>
    <tableColumn id="201" name="Inter School sports 10" totalsRowFunction="sum" dataDxfId="491"/>
    <tableColumn id="202" name="Inter School sports 11" totalsRowFunction="sum" dataDxfId="490"/>
    <tableColumn id="203" name="Inter School sports 12" totalsRowFunction="sum" dataDxfId="489"/>
    <tableColumn id="204" name="Inter School sports 13" totalsRowFunction="sum" dataDxfId="488"/>
    <tableColumn id="205" name="Inter School sports 14" totalsRowFunction="sum" dataDxfId="487"/>
    <tableColumn id="206" name="Inter School sports 15" totalsRowFunction="sum" dataDxfId="486"/>
    <tableColumn id="207" name="Inter School sports 16" totalsRowFunction="sum" dataDxfId="485"/>
    <tableColumn id="208" name="Inter School sports 17" totalsRowFunction="sum" dataDxfId="484"/>
    <tableColumn id="209" name="Inter School sports 18" totalsRowFunction="sum" dataDxfId="483"/>
    <tableColumn id="210" name="Inter School sports 19" totalsRowFunction="sum" dataDxfId="482"/>
    <tableColumn id="211" name="Inter School sports 20" totalsRowFunction="sum" dataDxfId="481"/>
    <tableColumn id="212" name="Inter School sports 21" totalsRowFunction="sum" dataDxfId="480"/>
    <tableColumn id="213" name="Inter School sports 22" totalsRowFunction="sum" dataDxfId="479"/>
    <tableColumn id="214" name="Inter School sports 23" totalsRowFunction="sum" dataDxfId="478"/>
    <tableColumn id="215" name="Inter School sports 24" totalsRowFunction="sum" dataDxfId="477"/>
    <tableColumn id="216" name="Inter School sports 25" totalsRowFunction="sum" dataDxfId="476"/>
    <tableColumn id="217" name="Inter School sports 26" totalsRowFunction="sum" dataDxfId="475"/>
    <tableColumn id="218" name="Inter School sports 27" totalsRowFunction="sum" dataDxfId="474"/>
    <tableColumn id="219" name="Inter School sports 28" totalsRowFunction="sum" dataDxfId="473"/>
    <tableColumn id="220" name="Inter School sports 29" totalsRowFunction="sum" dataDxfId="472"/>
    <tableColumn id="221" name="Inter School sports 30" totalsRowFunction="sum" dataDxfId="471"/>
    <tableColumn id="222" name="Inter School sports 31" totalsRowFunction="sum" dataDxfId="470"/>
    <tableColumn id="223" name="Inter School sports 32" totalsRowFunction="sum" dataDxfId="469"/>
    <tableColumn id="224" name="Inter School sports 33" totalsRowFunction="sum" dataDxfId="468"/>
    <tableColumn id="225" name="Inter School sports 34" totalsRowFunction="sum" dataDxfId="467"/>
    <tableColumn id="226" name="Inter School sports 35" totalsRowFunction="sum" dataDxfId="466"/>
    <tableColumn id="227" name="Inter School sports 36" totalsRowFunction="sum" dataDxfId="465"/>
    <tableColumn id="228" name="Inter School sports 37" totalsRowFunction="sum" dataDxfId="464"/>
    <tableColumn id="229" name="Inter School sports 38" totalsRowFunction="sum" dataDxfId="463"/>
    <tableColumn id="230" name="Inter School sports 39" totalsRowFunction="sum" dataDxfId="462"/>
    <tableColumn id="231" name="Inter School sports 40" totalsRowFunction="sum" dataDxfId="461"/>
    <tableColumn id="232" name="Inter School sports 41" totalsRowFunction="sum" dataDxfId="460"/>
    <tableColumn id="233" name="Inter School sports 42" totalsRowFunction="sum" dataDxfId="459"/>
    <tableColumn id="234" name="Inter School sports 43" totalsRowFunction="sum" dataDxfId="458"/>
    <tableColumn id="235" name="Inter School sports 44" totalsRowFunction="sum" dataDxfId="457"/>
    <tableColumn id="236" name="Inter School sports 45" totalsRowFunction="sum" dataDxfId="456"/>
    <tableColumn id="237" name="Inter School sports 46" totalsRowFunction="sum" dataDxfId="455"/>
    <tableColumn id="238" name="Inter School sports 47" totalsRowFunction="sum" dataDxfId="454"/>
    <tableColumn id="239" name="Inter School sports 48" totalsRowFunction="sum" dataDxfId="453"/>
    <tableColumn id="240" name="Inter School sports 49" totalsRowFunction="sum" dataDxfId="452"/>
    <tableColumn id="241" name="Inter School sports 50" totalsRowFunction="sum" dataDxfId="451"/>
    <tableColumn id="134" name="Community club (type name of club(s). All clubs will count as '1'" dataDxfId="450"/>
  </tableColumns>
  <tableStyleInfo name="TableStyleLight21" showFirstColumn="0" showLastColumn="0" showRowStripes="1" showColumnStripes="1"/>
</table>
</file>

<file path=xl/tables/table8.xml><?xml version="1.0" encoding="utf-8"?>
<table xmlns="http://schemas.openxmlformats.org/spreadsheetml/2006/main" id="6" name="Table167" displayName="Table167" ref="A3:HI221" totalsRowCount="1" headerRowDxfId="449" dataDxfId="448">
  <autoFilter ref="A3:HI220"/>
  <tableColumns count="217">
    <tableColumn id="1" name="First Name" totalsRowLabel="Total" dataDxfId="447"/>
    <tableColumn id="2" name="Surname" dataDxfId="446"/>
    <tableColumn id="3" name="Gender" dataDxfId="445"/>
    <tableColumn id="4" name="Class Name" dataDxfId="444"/>
    <tableColumn id="5" name="FSM / PP" totalsRowFunction="sum" dataDxfId="443"/>
    <tableColumn id="6" name="Ethnically Diverse" totalsRowFunction="sum" dataDxfId="442"/>
    <tableColumn id="7" name="EAL" totalsRowFunction="sum" dataDxfId="441"/>
    <tableColumn id="8" name="SEN" totalsRowFunction="sum" dataDxfId="440"/>
    <tableColumn id="9" name="Young Leader" totalsRowFunction="sum" dataDxfId="439"/>
    <tableColumn id="10" name="Least active" totalsRowFunction="sum" dataDxfId="438"/>
    <tableColumn id="129" name="Total Challenges" totalsRowFunction="sum" dataDxfId="437" totalsRowDxfId="436">
      <calculatedColumnFormula>SUM(Table167[[#This Row],[Challenge 1]:[Challenge 50]])</calculatedColumnFormula>
    </tableColumn>
    <tableColumn id="130" name="Total Ex-C Clubs" totalsRowFunction="sum" dataDxfId="435" totalsRowDxfId="434">
      <calculatedColumnFormula>SUM(Table167[[#This Row],[Club 1]:[Club 50]])</calculatedColumnFormula>
    </tableColumn>
    <tableColumn id="131" name="Total Intra-School Sports" totalsRowFunction="sum" dataDxfId="433" totalsRowDxfId="432">
      <calculatedColumnFormula>SUM(Table167[[#This Row],[Intra-school sports 1]:[Intra-school sports 50]])</calculatedColumnFormula>
    </tableColumn>
    <tableColumn id="132" name="Total Inter-School Sports" totalsRowFunction="sum" dataDxfId="431" totalsRowDxfId="430">
      <calculatedColumnFormula>SUM(Table167[[#This Row],[Inter School sports 1]:[Inter School sports 50]])</calculatedColumnFormula>
    </tableColumn>
    <tableColumn id="133" name="Community Clubs" totalsRowFunction="sum" dataDxfId="429" totalsRowDxfId="428">
      <calculatedColumnFormula>COUNTIF(Table167[[#This Row],[Community club (type name of club(s). All clubs will count as ''1'']],"*")</calculatedColumnFormula>
    </tableColumn>
    <tableColumn id="17" name="Active Opportunity" totalsRowFunction="sum" dataDxfId="427" totalsRowDxfId="426">
      <calculatedColumnFormula>IF(OR(Table167[[#This Row],[Total Challenges]]&gt;0,Table167[[#This Row],[Total Ex-C Clubs]]&gt;0,Table167[[#This Row],[Total Intra-School Sports]]&gt;0,Table167[[#This Row],[Total Inter-School Sports]]&gt;0,Table167[[#This Row],[Community Clubs]]&gt;0),1,0)</calculatedColumnFormula>
    </tableColumn>
    <tableColumn id="11" name="Challenge 1" totalsRowFunction="sum" dataDxfId="425"/>
    <tableColumn id="12" name="Challenge 2" totalsRowFunction="sum" dataDxfId="424"/>
    <tableColumn id="13" name="Challenge 3" totalsRowFunction="sum" dataDxfId="423"/>
    <tableColumn id="14" name="Challenge 4" totalsRowFunction="sum" dataDxfId="422"/>
    <tableColumn id="15" name="Challenge 5" totalsRowFunction="sum" dataDxfId="421"/>
    <tableColumn id="16" name="Challenge 6" totalsRowFunction="sum" dataDxfId="420"/>
    <tableColumn id="25" name="Challenge 7" totalsRowFunction="sum" dataDxfId="419"/>
    <tableColumn id="27" name="Challenge 8" totalsRowFunction="sum" dataDxfId="418"/>
    <tableColumn id="28" name="Challenge 9" totalsRowFunction="sum" dataDxfId="417"/>
    <tableColumn id="29" name="Challenge 10" totalsRowFunction="sum" dataDxfId="416"/>
    <tableColumn id="30" name="Challenge 11" totalsRowFunction="sum" dataDxfId="415"/>
    <tableColumn id="88" name="Challenge 12" totalsRowFunction="sum" dataDxfId="414"/>
    <tableColumn id="89" name="Challenge 13" totalsRowFunction="sum" dataDxfId="413"/>
    <tableColumn id="90" name="Challenge 14" totalsRowFunction="sum" dataDxfId="412"/>
    <tableColumn id="91" name="Challenge 15" totalsRowFunction="sum" dataDxfId="411"/>
    <tableColumn id="92" name="Challenge 16" totalsRowFunction="sum" dataDxfId="410"/>
    <tableColumn id="93" name="Challenge 17" totalsRowFunction="sum" dataDxfId="409"/>
    <tableColumn id="94" name="Challenge 18" totalsRowFunction="sum" dataDxfId="408"/>
    <tableColumn id="95" name="Challenge 19" totalsRowFunction="sum" dataDxfId="407"/>
    <tableColumn id="96" name="Challenge 20" totalsRowFunction="sum" dataDxfId="406"/>
    <tableColumn id="97" name="Challenge 21" totalsRowFunction="sum" dataDxfId="405"/>
    <tableColumn id="98" name="Challenge 22" totalsRowFunction="sum" dataDxfId="404"/>
    <tableColumn id="99" name="Challenge 23" totalsRowFunction="sum" dataDxfId="403"/>
    <tableColumn id="100" name="Challenge 24" totalsRowFunction="sum" dataDxfId="402"/>
    <tableColumn id="101" name="Challenge 25" totalsRowFunction="sum" dataDxfId="401"/>
    <tableColumn id="102" name="Challenge 26" totalsRowFunction="sum" dataDxfId="400"/>
    <tableColumn id="103" name="Challenge 27" totalsRowFunction="sum" dataDxfId="399"/>
    <tableColumn id="104" name="Challenge 28" totalsRowFunction="sum" dataDxfId="398"/>
    <tableColumn id="105" name="Challenge 29" totalsRowFunction="sum" dataDxfId="397"/>
    <tableColumn id="106" name="Challenge 30" totalsRowFunction="sum" dataDxfId="396"/>
    <tableColumn id="107" name="Challenge 31" totalsRowFunction="sum" dataDxfId="395"/>
    <tableColumn id="108" name="Challenge 32" totalsRowFunction="sum" dataDxfId="394"/>
    <tableColumn id="109" name="Challenge 33" totalsRowFunction="sum" dataDxfId="393"/>
    <tableColumn id="110" name="Challenge 34" totalsRowFunction="sum" dataDxfId="392"/>
    <tableColumn id="111" name="Challenge 35" totalsRowFunction="sum" dataDxfId="391"/>
    <tableColumn id="112" name="Challenge 36" totalsRowFunction="sum" dataDxfId="390"/>
    <tableColumn id="113" name="Challenge 37" totalsRowFunction="sum" dataDxfId="389"/>
    <tableColumn id="114" name="Challenge 38" totalsRowFunction="sum" dataDxfId="388"/>
    <tableColumn id="115" name="Challenge 39" totalsRowFunction="sum" dataDxfId="387"/>
    <tableColumn id="116" name="Challenge 40" totalsRowFunction="sum" dataDxfId="386"/>
    <tableColumn id="117" name="Challenge 41" totalsRowFunction="sum" dataDxfId="385"/>
    <tableColumn id="118" name="Challenge 42" totalsRowFunction="sum" dataDxfId="384"/>
    <tableColumn id="119" name="Challenge 43" totalsRowFunction="sum" dataDxfId="383"/>
    <tableColumn id="120" name="Challenge 44" totalsRowFunction="sum" dataDxfId="382"/>
    <tableColumn id="121" name="Challenge 45" totalsRowFunction="sum" dataDxfId="381"/>
    <tableColumn id="122" name="Challenge 46" totalsRowFunction="sum" dataDxfId="380"/>
    <tableColumn id="123" name="Challenge 47" totalsRowFunction="sum" dataDxfId="379"/>
    <tableColumn id="124" name="Challenge 48" totalsRowFunction="sum" dataDxfId="378"/>
    <tableColumn id="125" name="Challenge 49" totalsRowFunction="sum" dataDxfId="377"/>
    <tableColumn id="126" name="Challenge 50" totalsRowFunction="sum" dataDxfId="376"/>
    <tableColumn id="18" name="Club 1" totalsRowFunction="sum" dataDxfId="375"/>
    <tableColumn id="19" name="Club 2" totalsRowFunction="sum" dataDxfId="374"/>
    <tableColumn id="20" name="Club 3" totalsRowFunction="sum" dataDxfId="373"/>
    <tableColumn id="21" name="Club 4" totalsRowFunction="sum" dataDxfId="372"/>
    <tableColumn id="22" name="Club 5" totalsRowFunction="sum" dataDxfId="371"/>
    <tableColumn id="24" name="Club 6" totalsRowFunction="sum" dataDxfId="370"/>
    <tableColumn id="26" name="Club 7" totalsRowFunction="sum" dataDxfId="369"/>
    <tableColumn id="31" name="Club 8" totalsRowFunction="sum" dataDxfId="368"/>
    <tableColumn id="32" name="Club 9" totalsRowFunction="sum" dataDxfId="367"/>
    <tableColumn id="33" name="Club 10" totalsRowFunction="sum" dataDxfId="366"/>
    <tableColumn id="41" name="Club 11" totalsRowFunction="sum" dataDxfId="365"/>
    <tableColumn id="42" name="Club 12" totalsRowFunction="sum" dataDxfId="364"/>
    <tableColumn id="43" name="Club 13" totalsRowFunction="sum" dataDxfId="363"/>
    <tableColumn id="44" name="Club 14" totalsRowFunction="sum" dataDxfId="362"/>
    <tableColumn id="45" name="Club 15" totalsRowFunction="sum" dataDxfId="361"/>
    <tableColumn id="46" name="Club 16" totalsRowFunction="sum" dataDxfId="360"/>
    <tableColumn id="47" name="Club 17" totalsRowFunction="sum" dataDxfId="359"/>
    <tableColumn id="48" name="Club 18" totalsRowFunction="sum" dataDxfId="358"/>
    <tableColumn id="56" name="Club 19" totalsRowFunction="sum" dataDxfId="357"/>
    <tableColumn id="57" name="Club 20" totalsRowFunction="sum" dataDxfId="356"/>
    <tableColumn id="58" name="Club 21" totalsRowFunction="sum" dataDxfId="355"/>
    <tableColumn id="59" name="Club 22" totalsRowFunction="sum" dataDxfId="354"/>
    <tableColumn id="60" name="Club 23" totalsRowFunction="sum" dataDxfId="353"/>
    <tableColumn id="61" name="Club 24" totalsRowFunction="sum" dataDxfId="352"/>
    <tableColumn id="62" name="Club 25" totalsRowFunction="sum" dataDxfId="351"/>
    <tableColumn id="63" name="Club 26" totalsRowFunction="sum" dataDxfId="350"/>
    <tableColumn id="64" name="Club 27" totalsRowFunction="sum" dataDxfId="349"/>
    <tableColumn id="65" name="Club 28" totalsRowFunction="sum" dataDxfId="348"/>
    <tableColumn id="66" name="Club 29" totalsRowFunction="sum" dataDxfId="347"/>
    <tableColumn id="67" name="Club 30" totalsRowFunction="sum" dataDxfId="346"/>
    <tableColumn id="68" name="Club 31" totalsRowFunction="sum" dataDxfId="345"/>
    <tableColumn id="69" name="Club 32" totalsRowFunction="sum" dataDxfId="344"/>
    <tableColumn id="70" name="Club 33" totalsRowFunction="sum" dataDxfId="343"/>
    <tableColumn id="71" name="Club 34" totalsRowFunction="sum" dataDxfId="342"/>
    <tableColumn id="72" name="Club 35" totalsRowFunction="sum" dataDxfId="341"/>
    <tableColumn id="73" name="Club 36" totalsRowFunction="sum" dataDxfId="340"/>
    <tableColumn id="74" name="Club 37" totalsRowFunction="sum" dataDxfId="339"/>
    <tableColumn id="75" name="Club 38" totalsRowFunction="sum" dataDxfId="338"/>
    <tableColumn id="76" name="Club 39" totalsRowFunction="sum" dataDxfId="337"/>
    <tableColumn id="77" name="Club 40" totalsRowFunction="sum" dataDxfId="336"/>
    <tableColumn id="78" name="Club 41" totalsRowFunction="sum" dataDxfId="335"/>
    <tableColumn id="79" name="Club 42" totalsRowFunction="sum" dataDxfId="334"/>
    <tableColumn id="80" name="Club 43" totalsRowFunction="sum" dataDxfId="333"/>
    <tableColumn id="81" name="Club 44" totalsRowFunction="sum" dataDxfId="332"/>
    <tableColumn id="82" name="Club 45" totalsRowFunction="sum" dataDxfId="331"/>
    <tableColumn id="83" name="Club 46" totalsRowFunction="sum" dataDxfId="330"/>
    <tableColumn id="84" name="Club 47" totalsRowFunction="sum" dataDxfId="329"/>
    <tableColumn id="85" name="Club 48" totalsRowFunction="sum" dataDxfId="328"/>
    <tableColumn id="86" name="Club 49" totalsRowFunction="sum" dataDxfId="327"/>
    <tableColumn id="87" name="Club 50" totalsRowFunction="sum" dataDxfId="326"/>
    <tableColumn id="34" name="Intra-school sports 1" totalsRowFunction="sum" dataDxfId="325"/>
    <tableColumn id="35" name="Intra-school sports 2" totalsRowFunction="sum" dataDxfId="324"/>
    <tableColumn id="36" name="Intra-school sports 3" totalsRowFunction="sum" dataDxfId="323"/>
    <tableColumn id="37" name="Intra-school sports 4" totalsRowFunction="sum" dataDxfId="322"/>
    <tableColumn id="38" name="Intra-school sports 5" totalsRowFunction="sum" dataDxfId="321"/>
    <tableColumn id="39" name="Intra-school sports 6" totalsRowFunction="sum" dataDxfId="320"/>
    <tableColumn id="151" name="Intra-school sports 7" totalsRowFunction="sum" dataDxfId="319"/>
    <tableColumn id="152" name="Intra-school sports 8" totalsRowFunction="sum" dataDxfId="318"/>
    <tableColumn id="153" name="Intra-school sports 9" totalsRowFunction="sum" dataDxfId="317"/>
    <tableColumn id="154" name="Intra-school sports 10" totalsRowFunction="sum" dataDxfId="316"/>
    <tableColumn id="155" name="Intra-school sports 11" totalsRowFunction="sum" dataDxfId="315"/>
    <tableColumn id="156" name="Intra-school sports 12" totalsRowFunction="sum" dataDxfId="314"/>
    <tableColumn id="157" name="Intra-school sports 13" totalsRowFunction="sum" dataDxfId="313"/>
    <tableColumn id="158" name="Intra-school sports 14" totalsRowFunction="sum" dataDxfId="312"/>
    <tableColumn id="159" name="Intra-school sports 15" totalsRowFunction="sum" dataDxfId="311"/>
    <tableColumn id="160" name="Intra-school sports 16" totalsRowFunction="sum" dataDxfId="310"/>
    <tableColumn id="161" name="Intra-school sports 17" totalsRowFunction="sum" dataDxfId="309"/>
    <tableColumn id="162" name="Intra-school sports 18" totalsRowFunction="sum" dataDxfId="308"/>
    <tableColumn id="163" name="Intra-school sports 19" totalsRowFunction="sum" dataDxfId="307"/>
    <tableColumn id="164" name="Intra-school sports 20" totalsRowFunction="sum" dataDxfId="306"/>
    <tableColumn id="165" name="Intra-school sports 21" totalsRowFunction="sum" dataDxfId="305"/>
    <tableColumn id="166" name="Intra-school sports 22" totalsRowFunction="sum" dataDxfId="304"/>
    <tableColumn id="167" name="Intra-school sports 23" totalsRowFunction="sum" dataDxfId="303"/>
    <tableColumn id="168" name="Intra-school sports 24" totalsRowFunction="sum" dataDxfId="302"/>
    <tableColumn id="169" name="Intra-school sports 25" totalsRowFunction="sum" dataDxfId="301"/>
    <tableColumn id="170" name="Intra-school sports 26" totalsRowFunction="sum" dataDxfId="300"/>
    <tableColumn id="171" name="Intra-school sports 27" totalsRowFunction="sum" dataDxfId="299"/>
    <tableColumn id="172" name="Intra-school sports 28" totalsRowFunction="sum" dataDxfId="298"/>
    <tableColumn id="173" name="Intra-school sports 29" totalsRowFunction="sum" dataDxfId="297"/>
    <tableColumn id="174" name="Intra-school sports 30" totalsRowFunction="sum" dataDxfId="296"/>
    <tableColumn id="175" name="Intra-school sports 31" totalsRowFunction="sum" dataDxfId="295"/>
    <tableColumn id="176" name="Intra-school sports 32" totalsRowFunction="sum" dataDxfId="294"/>
    <tableColumn id="177" name="Intra-school sports 33" totalsRowFunction="sum" dataDxfId="293"/>
    <tableColumn id="178" name="Intra-school sports 34" totalsRowFunction="sum" dataDxfId="292"/>
    <tableColumn id="179" name="Intra-school sports 35" totalsRowFunction="sum" dataDxfId="291"/>
    <tableColumn id="180" name="Intra-school sports 36" totalsRowFunction="sum" dataDxfId="290"/>
    <tableColumn id="181" name="Intra-school sports 37" totalsRowFunction="sum" dataDxfId="289"/>
    <tableColumn id="182" name="Intra-school sports 38" totalsRowFunction="sum" dataDxfId="288"/>
    <tableColumn id="183" name="Intra-school sports 39" totalsRowFunction="sum" dataDxfId="287"/>
    <tableColumn id="184" name="Intra-school sports 40" totalsRowFunction="sum" dataDxfId="286"/>
    <tableColumn id="185" name="Intra-school sports 41" totalsRowFunction="sum" dataDxfId="285"/>
    <tableColumn id="186" name="Intra-school sports 42" totalsRowFunction="sum" dataDxfId="284"/>
    <tableColumn id="187" name="Intra-school sports 43" totalsRowFunction="sum" dataDxfId="283"/>
    <tableColumn id="188" name="Intra-school sports 44" totalsRowFunction="sum" dataDxfId="282"/>
    <tableColumn id="189" name="Intra-school sports 45" totalsRowFunction="sum" dataDxfId="281"/>
    <tableColumn id="190" name="Intra-school sports 46" totalsRowFunction="sum" dataDxfId="280"/>
    <tableColumn id="191" name="Intra-school sports 47" totalsRowFunction="sum" dataDxfId="279"/>
    <tableColumn id="192" name="Intra-school sports 48" totalsRowFunction="sum" dataDxfId="278"/>
    <tableColumn id="193" name="Intra-school sports 49" totalsRowFunction="sum" dataDxfId="277"/>
    <tableColumn id="194" name="Intra-school sports 50" totalsRowFunction="sum" dataDxfId="276"/>
    <tableColumn id="49" name="Inter School sports 1" totalsRowFunction="sum" dataDxfId="275"/>
    <tableColumn id="50" name="Inter School sports 2" totalsRowFunction="sum" dataDxfId="274"/>
    <tableColumn id="51" name="Inter School sports 3" totalsRowFunction="sum" dataDxfId="273"/>
    <tableColumn id="52" name="Inter School sports 4" totalsRowFunction="sum" dataDxfId="272"/>
    <tableColumn id="53" name="Inter School sports 5" totalsRowFunction="sum" dataDxfId="271"/>
    <tableColumn id="54" name="Inter School sports 6" totalsRowFunction="sum" dataDxfId="270"/>
    <tableColumn id="198" name="Inter School sports 7" totalsRowFunction="sum" dataDxfId="269"/>
    <tableColumn id="199" name="Inter School sports 8" totalsRowFunction="sum" dataDxfId="268"/>
    <tableColumn id="200" name="Inter School sports 9" totalsRowFunction="sum" dataDxfId="267"/>
    <tableColumn id="201" name="Inter School sports 10" totalsRowFunction="sum" dataDxfId="266"/>
    <tableColumn id="202" name="Inter School sports 11" totalsRowFunction="sum" dataDxfId="265"/>
    <tableColumn id="203" name="Inter School sports 12" totalsRowFunction="sum" dataDxfId="264"/>
    <tableColumn id="204" name="Inter School sports 13" totalsRowFunction="sum" dataDxfId="263"/>
    <tableColumn id="205" name="Inter School sports 14" totalsRowFunction="sum" dataDxfId="262"/>
    <tableColumn id="206" name="Inter School sports 15" totalsRowFunction="sum" dataDxfId="261"/>
    <tableColumn id="207" name="Inter School sports 16" totalsRowFunction="sum" dataDxfId="260"/>
    <tableColumn id="208" name="Inter School sports 17" totalsRowFunction="sum" dataDxfId="259"/>
    <tableColumn id="209" name="Inter School sports 18" totalsRowFunction="sum" dataDxfId="258"/>
    <tableColumn id="210" name="Inter School sports 19" totalsRowFunction="sum" dataDxfId="257"/>
    <tableColumn id="211" name="Inter School sports 20" totalsRowFunction="sum" dataDxfId="256"/>
    <tableColumn id="212" name="Inter School sports 21" totalsRowFunction="sum" dataDxfId="255"/>
    <tableColumn id="213" name="Inter School sports 22" totalsRowFunction="sum" dataDxfId="254"/>
    <tableColumn id="214" name="Inter School sports 23" totalsRowFunction="sum" dataDxfId="253"/>
    <tableColumn id="215" name="Inter School sports 24" totalsRowFunction="sum" dataDxfId="252"/>
    <tableColumn id="216" name="Inter School sports 25" totalsRowFunction="sum" dataDxfId="251"/>
    <tableColumn id="217" name="Inter School sports 26" totalsRowFunction="sum" dataDxfId="250"/>
    <tableColumn id="218" name="Inter School sports 27" totalsRowFunction="sum" dataDxfId="249"/>
    <tableColumn id="219" name="Inter School sports 28" totalsRowFunction="sum" dataDxfId="248"/>
    <tableColumn id="220" name="Inter School sports 29" totalsRowFunction="sum" dataDxfId="247"/>
    <tableColumn id="221" name="Inter School sports 30" totalsRowFunction="sum" dataDxfId="246"/>
    <tableColumn id="222" name="Inter School sports 31" totalsRowFunction="sum" dataDxfId="245"/>
    <tableColumn id="223" name="Inter School sports 32" totalsRowFunction="sum" dataDxfId="244"/>
    <tableColumn id="224" name="Inter School sports 33" totalsRowFunction="sum" dataDxfId="243"/>
    <tableColumn id="225" name="Inter School sports 34" totalsRowFunction="sum" dataDxfId="242"/>
    <tableColumn id="226" name="Inter School sports 35" totalsRowFunction="sum" dataDxfId="241"/>
    <tableColumn id="227" name="Inter School sports 36" totalsRowFunction="sum" dataDxfId="240"/>
    <tableColumn id="228" name="Inter School sports 37" totalsRowFunction="sum" dataDxfId="239"/>
    <tableColumn id="229" name="Inter School sports 38" totalsRowFunction="sum" dataDxfId="238"/>
    <tableColumn id="230" name="Inter School sports 39" totalsRowFunction="sum" dataDxfId="237"/>
    <tableColumn id="231" name="Inter School sports 40" totalsRowFunction="sum" dataDxfId="236"/>
    <tableColumn id="232" name="Inter School sports 41" totalsRowFunction="sum" dataDxfId="235"/>
    <tableColumn id="233" name="Inter School sports 42" totalsRowFunction="sum" dataDxfId="234"/>
    <tableColumn id="234" name="Inter School sports 43" totalsRowFunction="sum" dataDxfId="233"/>
    <tableColumn id="235" name="Inter School sports 44" totalsRowFunction="sum" dataDxfId="232"/>
    <tableColumn id="236" name="Inter School sports 45" totalsRowFunction="sum" dataDxfId="231"/>
    <tableColumn id="237" name="Inter School sports 46" totalsRowFunction="sum" dataDxfId="230"/>
    <tableColumn id="238" name="Inter School sports 47" totalsRowFunction="sum" dataDxfId="229"/>
    <tableColumn id="239" name="Inter School sports 48" totalsRowFunction="sum" dataDxfId="228"/>
    <tableColumn id="240" name="Inter School sports 49" totalsRowFunction="sum" dataDxfId="227"/>
    <tableColumn id="241" name="Inter School sports 50" totalsRowFunction="sum" dataDxfId="226"/>
    <tableColumn id="134" name="Community club (type name of club(s). All clubs will count as '1'" dataDxfId="225"/>
  </tableColumns>
  <tableStyleInfo name="TableStyleLight21" showFirstColumn="0" showLastColumn="0" showRowStripes="1" showColumnStripes="1"/>
</table>
</file>

<file path=xl/tables/table9.xml><?xml version="1.0" encoding="utf-8"?>
<table xmlns="http://schemas.openxmlformats.org/spreadsheetml/2006/main" id="7" name="Table1678" displayName="Table1678" ref="A3:HI221" totalsRowCount="1" headerRowDxfId="224" dataDxfId="223">
  <autoFilter ref="A3:HI220"/>
  <tableColumns count="217">
    <tableColumn id="1" name="First Name" totalsRowLabel="Total" dataDxfId="222"/>
    <tableColumn id="2" name="Surname" dataDxfId="221"/>
    <tableColumn id="3" name="Gender" dataDxfId="220"/>
    <tableColumn id="4" name="Class Name" dataDxfId="219"/>
    <tableColumn id="5" name="FSM / PP" totalsRowFunction="sum" dataDxfId="218"/>
    <tableColumn id="6" name="Ethnically Diverse" totalsRowFunction="sum" dataDxfId="217"/>
    <tableColumn id="7" name="EAL" totalsRowFunction="sum" dataDxfId="216"/>
    <tableColumn id="8" name="SEN" totalsRowFunction="sum" dataDxfId="215"/>
    <tableColumn id="9" name="Young Leader" totalsRowFunction="sum" dataDxfId="214"/>
    <tableColumn id="10" name="Least active" totalsRowFunction="sum" dataDxfId="213"/>
    <tableColumn id="129" name="Total Challenges" totalsRowFunction="sum" dataDxfId="212" totalsRowDxfId="211">
      <calculatedColumnFormula>SUM(Table1678[[#This Row],[Challenge 1]:[Challenge 50]])</calculatedColumnFormula>
    </tableColumn>
    <tableColumn id="130" name="Total Ex-C Clubs" totalsRowFunction="sum" dataDxfId="210" totalsRowDxfId="209">
      <calculatedColumnFormula>SUM(Table1678[[#This Row],[Club 1]:[Club 50]])</calculatedColumnFormula>
    </tableColumn>
    <tableColumn id="131" name="Total Intra-School Sports" totalsRowFunction="sum" dataDxfId="208" totalsRowDxfId="207">
      <calculatedColumnFormula>SUM(Table1678[[#This Row],[Intra-school sports 1]:[Intra-school sports 50]])</calculatedColumnFormula>
    </tableColumn>
    <tableColumn id="132" name="Total Inter-School Sports" totalsRowFunction="sum" dataDxfId="206" totalsRowDxfId="205">
      <calculatedColumnFormula>SUM(Table1678[[#This Row],[Inter School sports 1]:[Inter School sports 50]])</calculatedColumnFormula>
    </tableColumn>
    <tableColumn id="133" name="Community Clubs" totalsRowFunction="sum" dataDxfId="204" totalsRowDxfId="203">
      <calculatedColumnFormula>COUNTIF(Table1678[[#This Row],[Community club (type name of club(s). All clubs will count as ''1'']],"*")</calculatedColumnFormula>
    </tableColumn>
    <tableColumn id="17" name="Active Opportunity" totalsRowFunction="sum" dataDxfId="202" totalsRowDxfId="201">
      <calculatedColumnFormula>IF(OR(Table1678[[#This Row],[Total Challenges]]&gt;0,Table1678[[#This Row],[Total Ex-C Clubs]]&gt;0,Table1678[[#This Row],[Total Intra-School Sports]]&gt;0,Table1678[[#This Row],[Total Inter-School Sports]]&gt;0,Table1678[[#This Row],[Community Clubs]]&gt;0),1,0)</calculatedColumnFormula>
    </tableColumn>
    <tableColumn id="11" name="Challenge 1" totalsRowFunction="sum" dataDxfId="200"/>
    <tableColumn id="12" name="Challenge 2" totalsRowFunction="sum" dataDxfId="199"/>
    <tableColumn id="13" name="Challenge 3" totalsRowFunction="sum" dataDxfId="198"/>
    <tableColumn id="14" name="Challenge 4" totalsRowFunction="sum" dataDxfId="197"/>
    <tableColumn id="15" name="Challenge 5" totalsRowFunction="sum" dataDxfId="196"/>
    <tableColumn id="16" name="Challenge 6" totalsRowFunction="sum" dataDxfId="195"/>
    <tableColumn id="25" name="Challenge 7" totalsRowFunction="sum" dataDxfId="194"/>
    <tableColumn id="27" name="Challenge 8" totalsRowFunction="sum" dataDxfId="193"/>
    <tableColumn id="28" name="Challenge 9" totalsRowFunction="sum" dataDxfId="192"/>
    <tableColumn id="29" name="Challenge 10" totalsRowFunction="sum" dataDxfId="191"/>
    <tableColumn id="30" name="Challenge 11" totalsRowFunction="sum" dataDxfId="190"/>
    <tableColumn id="88" name="Challenge 12" totalsRowFunction="sum" dataDxfId="189"/>
    <tableColumn id="89" name="Challenge 13" totalsRowFunction="sum" dataDxfId="188"/>
    <tableColumn id="90" name="Challenge 14" totalsRowFunction="sum" dataDxfId="187"/>
    <tableColumn id="91" name="Challenge 15" totalsRowFunction="sum" dataDxfId="186"/>
    <tableColumn id="92" name="Challenge 16" totalsRowFunction="sum" dataDxfId="185"/>
    <tableColumn id="93" name="Challenge 17" totalsRowFunction="sum" dataDxfId="184"/>
    <tableColumn id="94" name="Challenge 18" totalsRowFunction="sum" dataDxfId="183"/>
    <tableColumn id="95" name="Challenge 19" totalsRowFunction="sum" dataDxfId="182"/>
    <tableColumn id="96" name="Challenge 20" totalsRowFunction="sum" dataDxfId="181"/>
    <tableColumn id="97" name="Challenge 21" totalsRowFunction="sum" dataDxfId="180"/>
    <tableColumn id="98" name="Challenge 22" totalsRowFunction="sum" dataDxfId="179"/>
    <tableColumn id="99" name="Challenge 23" totalsRowFunction="sum" dataDxfId="178"/>
    <tableColumn id="100" name="Challenge 24" totalsRowFunction="sum" dataDxfId="177"/>
    <tableColumn id="101" name="Challenge 25" totalsRowFunction="sum" dataDxfId="176"/>
    <tableColumn id="102" name="Challenge 26" totalsRowFunction="sum" dataDxfId="175"/>
    <tableColumn id="103" name="Challenge 27" totalsRowFunction="sum" dataDxfId="174"/>
    <tableColumn id="104" name="Challenge 28" totalsRowFunction="sum" dataDxfId="173"/>
    <tableColumn id="105" name="Challenge 29" totalsRowFunction="sum" dataDxfId="172"/>
    <tableColumn id="106" name="Challenge 30" totalsRowFunction="sum" dataDxfId="171"/>
    <tableColumn id="107" name="Challenge 31" totalsRowFunction="sum" dataDxfId="170"/>
    <tableColumn id="108" name="Challenge 32" totalsRowFunction="sum" dataDxfId="169"/>
    <tableColumn id="109" name="Challenge 33" totalsRowFunction="sum" dataDxfId="168"/>
    <tableColumn id="110" name="Challenge 34" totalsRowFunction="sum" dataDxfId="167"/>
    <tableColumn id="111" name="Challenge 35" totalsRowFunction="sum" dataDxfId="166"/>
    <tableColumn id="112" name="Challenge 36" totalsRowFunction="sum" dataDxfId="165"/>
    <tableColumn id="113" name="Challenge 37" totalsRowFunction="sum" dataDxfId="164"/>
    <tableColumn id="114" name="Challenge 38" totalsRowFunction="sum" dataDxfId="163"/>
    <tableColumn id="115" name="Challenge 39" totalsRowFunction="sum" dataDxfId="162"/>
    <tableColumn id="116" name="Challenge 40" totalsRowFunction="sum" dataDxfId="161"/>
    <tableColumn id="117" name="Challenge 41" totalsRowFunction="sum" dataDxfId="160"/>
    <tableColumn id="118" name="Challenge 42" totalsRowFunction="sum" dataDxfId="159"/>
    <tableColumn id="119" name="Challenge 43" totalsRowFunction="sum" dataDxfId="158"/>
    <tableColumn id="120" name="Challenge 44" totalsRowFunction="sum" dataDxfId="157"/>
    <tableColumn id="121" name="Challenge 45" totalsRowFunction="sum" dataDxfId="156"/>
    <tableColumn id="122" name="Challenge 46" totalsRowFunction="sum" dataDxfId="155"/>
    <tableColumn id="123" name="Challenge 47" totalsRowFunction="sum" dataDxfId="154"/>
    <tableColumn id="124" name="Challenge 48" totalsRowFunction="sum" dataDxfId="153"/>
    <tableColumn id="125" name="Challenge 49" totalsRowFunction="sum" dataDxfId="152"/>
    <tableColumn id="126" name="Challenge 50" totalsRowFunction="sum" dataDxfId="151"/>
    <tableColumn id="18" name="Club 1" totalsRowFunction="sum" dataDxfId="150"/>
    <tableColumn id="19" name="Club 2" totalsRowFunction="sum" dataDxfId="149"/>
    <tableColumn id="20" name="Club 3" totalsRowFunction="sum" dataDxfId="148"/>
    <tableColumn id="21" name="Club 4" totalsRowFunction="sum" dataDxfId="147"/>
    <tableColumn id="22" name="Club 5" totalsRowFunction="sum" dataDxfId="146"/>
    <tableColumn id="24" name="Club 6" totalsRowFunction="sum" dataDxfId="145"/>
    <tableColumn id="26" name="Club 7" totalsRowFunction="sum" dataDxfId="144"/>
    <tableColumn id="31" name="Club 8" totalsRowFunction="sum" dataDxfId="143"/>
    <tableColumn id="32" name="Club 9" totalsRowFunction="sum" dataDxfId="142"/>
    <tableColumn id="33" name="Club 10" totalsRowFunction="sum" dataDxfId="141"/>
    <tableColumn id="41" name="Club 11" totalsRowFunction="sum" dataDxfId="140"/>
    <tableColumn id="42" name="Club 12" totalsRowFunction="sum" dataDxfId="139"/>
    <tableColumn id="43" name="Club 13" totalsRowFunction="sum" dataDxfId="138"/>
    <tableColumn id="44" name="Club 14" totalsRowFunction="sum" dataDxfId="137"/>
    <tableColumn id="45" name="Club 15" totalsRowFunction="sum" dataDxfId="136"/>
    <tableColumn id="46" name="Club 16" totalsRowFunction="sum" dataDxfId="135"/>
    <tableColumn id="47" name="Club 17" totalsRowFunction="sum" dataDxfId="134"/>
    <tableColumn id="48" name="Club 18" totalsRowFunction="sum" dataDxfId="133"/>
    <tableColumn id="56" name="Club 19" totalsRowFunction="sum" dataDxfId="132"/>
    <tableColumn id="57" name="Club 20" totalsRowFunction="sum" dataDxfId="131"/>
    <tableColumn id="58" name="Club 21" totalsRowFunction="sum" dataDxfId="130"/>
    <tableColumn id="59" name="Club 22" totalsRowFunction="sum" dataDxfId="129"/>
    <tableColumn id="60" name="Club 23" totalsRowFunction="sum" dataDxfId="128"/>
    <tableColumn id="61" name="Club 24" totalsRowFunction="sum" dataDxfId="127"/>
    <tableColumn id="62" name="Club 25" totalsRowFunction="sum" dataDxfId="126"/>
    <tableColumn id="63" name="Club 26" totalsRowFunction="sum" dataDxfId="125"/>
    <tableColumn id="64" name="Club 27" totalsRowFunction="sum" dataDxfId="124"/>
    <tableColumn id="65" name="Club 28" totalsRowFunction="sum" dataDxfId="123"/>
    <tableColumn id="66" name="Club 29" totalsRowFunction="sum" dataDxfId="122"/>
    <tableColumn id="67" name="Club 30" totalsRowFunction="sum" dataDxfId="121"/>
    <tableColumn id="68" name="Club 31" totalsRowFunction="sum" dataDxfId="120"/>
    <tableColumn id="69" name="Club 32" totalsRowFunction="sum" dataDxfId="119"/>
    <tableColumn id="70" name="Club 33" totalsRowFunction="sum" dataDxfId="118"/>
    <tableColumn id="71" name="Club 34" totalsRowFunction="sum" dataDxfId="117"/>
    <tableColumn id="72" name="Club 35" totalsRowFunction="sum" dataDxfId="116"/>
    <tableColumn id="73" name="Club 36" totalsRowFunction="sum" dataDxfId="115"/>
    <tableColumn id="74" name="Club 37" totalsRowFunction="sum" dataDxfId="114"/>
    <tableColumn id="75" name="Club 38" totalsRowFunction="sum" dataDxfId="113"/>
    <tableColumn id="76" name="Club 39" totalsRowFunction="sum" dataDxfId="112"/>
    <tableColumn id="77" name="Club 40" totalsRowFunction="sum" dataDxfId="111"/>
    <tableColumn id="78" name="Club 41" totalsRowFunction="sum" dataDxfId="110"/>
    <tableColumn id="79" name="Club 42" totalsRowFunction="sum" dataDxfId="109"/>
    <tableColumn id="80" name="Club 43" totalsRowFunction="sum" dataDxfId="108"/>
    <tableColumn id="81" name="Club 44" totalsRowFunction="sum" dataDxfId="107"/>
    <tableColumn id="82" name="Club 45" totalsRowFunction="sum" dataDxfId="106"/>
    <tableColumn id="83" name="Club 46" totalsRowFunction="sum" dataDxfId="105"/>
    <tableColumn id="84" name="Club 47" totalsRowFunction="sum" dataDxfId="104"/>
    <tableColumn id="85" name="Club 48" totalsRowFunction="sum" dataDxfId="103"/>
    <tableColumn id="86" name="Club 49" totalsRowFunction="sum" dataDxfId="102"/>
    <tableColumn id="87" name="Club 50" totalsRowFunction="sum" dataDxfId="101"/>
    <tableColumn id="34" name="Intra-school sports 1" totalsRowFunction="sum" dataDxfId="100"/>
    <tableColumn id="35" name="Intra-school sports 2" totalsRowFunction="sum" dataDxfId="99"/>
    <tableColumn id="36" name="Intra-school sports 3" totalsRowFunction="sum" dataDxfId="98"/>
    <tableColumn id="37" name="Intra-school sports 4" totalsRowFunction="sum" dataDxfId="97"/>
    <tableColumn id="38" name="Intra-school sports 5" totalsRowFunction="sum" dataDxfId="96"/>
    <tableColumn id="39" name="Intra-school sports 6" totalsRowFunction="sum" dataDxfId="95"/>
    <tableColumn id="151" name="Intra-school sports 7" totalsRowFunction="sum" dataDxfId="94"/>
    <tableColumn id="152" name="Intra-school sports 8" totalsRowFunction="sum" dataDxfId="93"/>
    <tableColumn id="153" name="Intra-school sports 9" totalsRowFunction="sum" dataDxfId="92"/>
    <tableColumn id="154" name="Intra-school sports 10" totalsRowFunction="sum" dataDxfId="91"/>
    <tableColumn id="155" name="Intra-school sports 11" totalsRowFunction="sum" dataDxfId="90"/>
    <tableColumn id="156" name="Intra-school sports 12" totalsRowFunction="sum" dataDxfId="89"/>
    <tableColumn id="157" name="Intra-school sports 13" totalsRowFunction="sum" dataDxfId="88"/>
    <tableColumn id="158" name="Intra-school sports 14" totalsRowFunction="sum" dataDxfId="87"/>
    <tableColumn id="159" name="Intra-school sports 15" totalsRowFunction="sum" dataDxfId="86"/>
    <tableColumn id="160" name="Intra-school sports 16" totalsRowFunction="sum" dataDxfId="85"/>
    <tableColumn id="161" name="Intra-school sports 17" totalsRowFunction="sum" dataDxfId="84"/>
    <tableColumn id="162" name="Intra-school sports 18" totalsRowFunction="sum" dataDxfId="83"/>
    <tableColumn id="163" name="Intra-school sports 19" totalsRowFunction="sum" dataDxfId="82"/>
    <tableColumn id="164" name="Intra-school sports 20" totalsRowFunction="sum" dataDxfId="81"/>
    <tableColumn id="165" name="Intra-school sports 21" totalsRowFunction="sum" dataDxfId="80"/>
    <tableColumn id="166" name="Intra-school sports 22" totalsRowFunction="sum" dataDxfId="79"/>
    <tableColumn id="167" name="Intra-school sports 23" totalsRowFunction="sum" dataDxfId="78"/>
    <tableColumn id="168" name="Intra-school sports 24" totalsRowFunction="sum" dataDxfId="77"/>
    <tableColumn id="169" name="Intra-school sports 25" totalsRowFunction="sum" dataDxfId="76"/>
    <tableColumn id="170" name="Intra-school sports 26" totalsRowFunction="sum" dataDxfId="75"/>
    <tableColumn id="171" name="Intra-school sports 27" totalsRowFunction="sum" dataDxfId="74"/>
    <tableColumn id="172" name="Intra-school sports 28" totalsRowFunction="sum" dataDxfId="73"/>
    <tableColumn id="173" name="Intra-school sports 29" totalsRowFunction="sum" dataDxfId="72"/>
    <tableColumn id="174" name="Intra-school sports 30" totalsRowFunction="sum" dataDxfId="71"/>
    <tableColumn id="175" name="Intra-school sports 31" totalsRowFunction="sum" dataDxfId="70"/>
    <tableColumn id="176" name="Intra-school sports 32" totalsRowFunction="sum" dataDxfId="69"/>
    <tableColumn id="177" name="Intra-school sports 33" totalsRowFunction="sum" dataDxfId="68"/>
    <tableColumn id="178" name="Intra-school sports 34" totalsRowFunction="sum" dataDxfId="67"/>
    <tableColumn id="179" name="Intra-school sports 35" totalsRowFunction="sum" dataDxfId="66"/>
    <tableColumn id="180" name="Intra-school sports 36" totalsRowFunction="sum" dataDxfId="65"/>
    <tableColumn id="181" name="Intra-school sports 37" totalsRowFunction="sum" dataDxfId="64"/>
    <tableColumn id="182" name="Intra-school sports 38" totalsRowFunction="sum" dataDxfId="63"/>
    <tableColumn id="183" name="Intra-school sports 39" totalsRowFunction="sum" dataDxfId="62"/>
    <tableColumn id="184" name="Intra-school sports 40" totalsRowFunction="sum" dataDxfId="61"/>
    <tableColumn id="185" name="Intra-school sports 41" totalsRowFunction="sum" dataDxfId="60"/>
    <tableColumn id="186" name="Intra-school sports 42" totalsRowFunction="sum" dataDxfId="59"/>
    <tableColumn id="187" name="Intra-school sports 43" totalsRowFunction="sum" dataDxfId="58"/>
    <tableColumn id="188" name="Intra-school sports 44" totalsRowFunction="sum" dataDxfId="57"/>
    <tableColumn id="189" name="Intra-school sports 45" totalsRowFunction="sum" dataDxfId="56"/>
    <tableColumn id="190" name="Intra-school sports 46" totalsRowFunction="sum" dataDxfId="55"/>
    <tableColumn id="191" name="Intra-school sports 47" totalsRowFunction="sum" dataDxfId="54"/>
    <tableColumn id="192" name="Intra-school sports 48" totalsRowFunction="sum" dataDxfId="53"/>
    <tableColumn id="193" name="Intra-school sports 49" totalsRowFunction="sum" dataDxfId="52"/>
    <tableColumn id="194" name="Intra-school sports 50" totalsRowFunction="sum" dataDxfId="51"/>
    <tableColumn id="49" name="Inter School sports 1" totalsRowFunction="sum" dataDxfId="50"/>
    <tableColumn id="50" name="Inter School sports 2" totalsRowFunction="sum" dataDxfId="49"/>
    <tableColumn id="51" name="Inter School sports 3" totalsRowFunction="sum" dataDxfId="48"/>
    <tableColumn id="52" name="Inter School sports 4" totalsRowFunction="sum" dataDxfId="47"/>
    <tableColumn id="53" name="Inter School sports 5" totalsRowFunction="sum" dataDxfId="46"/>
    <tableColumn id="54" name="Inter School sports 6" totalsRowFunction="sum" dataDxfId="45"/>
    <tableColumn id="198" name="Inter School sports 7" totalsRowFunction="sum" dataDxfId="44"/>
    <tableColumn id="199" name="Inter School sports 8" totalsRowFunction="sum" dataDxfId="43"/>
    <tableColumn id="200" name="Inter School sports 9" totalsRowFunction="sum" dataDxfId="42"/>
    <tableColumn id="201" name="Inter School sports 10" totalsRowFunction="sum" dataDxfId="41"/>
    <tableColumn id="202" name="Inter School sports 11" totalsRowFunction="sum" dataDxfId="40"/>
    <tableColumn id="203" name="Inter School sports 12" totalsRowFunction="sum" dataDxfId="39"/>
    <tableColumn id="204" name="Inter School sports 13" totalsRowFunction="sum" dataDxfId="38"/>
    <tableColumn id="205" name="Inter School sports 14" totalsRowFunction="sum" dataDxfId="37"/>
    <tableColumn id="206" name="Inter School sports 15" totalsRowFunction="sum" dataDxfId="36"/>
    <tableColumn id="207" name="Inter School sports 16" totalsRowFunction="sum" dataDxfId="35"/>
    <tableColumn id="208" name="Inter School sports 17" totalsRowFunction="sum" dataDxfId="34"/>
    <tableColumn id="209" name="Inter School sports 18" totalsRowFunction="sum" dataDxfId="33"/>
    <tableColumn id="210" name="Inter School sports 19" totalsRowFunction="sum" dataDxfId="32"/>
    <tableColumn id="211" name="Inter School sports 20" totalsRowFunction="sum" dataDxfId="31"/>
    <tableColumn id="212" name="Inter School sports 21" totalsRowFunction="sum" dataDxfId="30"/>
    <tableColumn id="213" name="Inter School sports 22" totalsRowFunction="sum" dataDxfId="29"/>
    <tableColumn id="214" name="Inter School sports 23" totalsRowFunction="sum" dataDxfId="28"/>
    <tableColumn id="215" name="Inter School sports 24" totalsRowFunction="sum" dataDxfId="27"/>
    <tableColumn id="216" name="Inter School sports 25" totalsRowFunction="sum" dataDxfId="26"/>
    <tableColumn id="217" name="Inter School sports 26" totalsRowFunction="sum" dataDxfId="25"/>
    <tableColumn id="218" name="Inter School sports 27" totalsRowFunction="sum" dataDxfId="24"/>
    <tableColumn id="219" name="Inter School sports 28" totalsRowFunction="sum" dataDxfId="23"/>
    <tableColumn id="220" name="Inter School sports 29" totalsRowFunction="sum" dataDxfId="22"/>
    <tableColumn id="221" name="Inter School sports 30" totalsRowFunction="sum" dataDxfId="21"/>
    <tableColumn id="222" name="Inter School sports 31" totalsRowFunction="sum" dataDxfId="20"/>
    <tableColumn id="223" name="Inter School sports 32" totalsRowFunction="sum" dataDxfId="19"/>
    <tableColumn id="224" name="Inter School sports 33" totalsRowFunction="sum" dataDxfId="18"/>
    <tableColumn id="225" name="Inter School sports 34" totalsRowFunction="sum" dataDxfId="17"/>
    <tableColumn id="226" name="Inter School sports 35" totalsRowFunction="sum" dataDxfId="16"/>
    <tableColumn id="227" name="Inter School sports 36" totalsRowFunction="sum" dataDxfId="15"/>
    <tableColumn id="228" name="Inter School sports 37" totalsRowFunction="sum" dataDxfId="14"/>
    <tableColumn id="229" name="Inter School sports 38" totalsRowFunction="sum" dataDxfId="13"/>
    <tableColumn id="230" name="Inter School sports 39" totalsRowFunction="sum" dataDxfId="12"/>
    <tableColumn id="231" name="Inter School sports 40" totalsRowFunction="sum" dataDxfId="11"/>
    <tableColumn id="232" name="Inter School sports 41" totalsRowFunction="sum" dataDxfId="10"/>
    <tableColumn id="233" name="Inter School sports 42" totalsRowFunction="sum" dataDxfId="9"/>
    <tableColumn id="234" name="Inter School sports 43" totalsRowFunction="sum" dataDxfId="8"/>
    <tableColumn id="235" name="Inter School sports 44" totalsRowFunction="sum" dataDxfId="7"/>
    <tableColumn id="236" name="Inter School sports 45" totalsRowFunction="sum" dataDxfId="6"/>
    <tableColumn id="237" name="Inter School sports 46" totalsRowFunction="sum" dataDxfId="5"/>
    <tableColumn id="238" name="Inter School sports 47" totalsRowFunction="sum" dataDxfId="4"/>
    <tableColumn id="239" name="Inter School sports 48" totalsRowFunction="sum" dataDxfId="3"/>
    <tableColumn id="240" name="Inter School sports 49" totalsRowFunction="sum" dataDxfId="2"/>
    <tableColumn id="241" name="Inter School sports 50" totalsRowFunction="sum" dataDxfId="1"/>
    <tableColumn id="134" name="Community club (type name of club(s). All clubs will count as '1'" dataDxfId="0"/>
  </tableColumns>
  <tableStyleInfo name="TableStyleLight21"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rschoolgames.com/regis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drawing" Target="../drawings/drawing3.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5.vml"/><Relationship Id="rId1" Type="http://schemas.openxmlformats.org/officeDocument/2006/relationships/drawing" Target="../drawings/drawing4.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6.vml"/><Relationship Id="rId1" Type="http://schemas.openxmlformats.org/officeDocument/2006/relationships/drawing" Target="../drawings/drawing5.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7.vml"/><Relationship Id="rId1" Type="http://schemas.openxmlformats.org/officeDocument/2006/relationships/drawing" Target="../drawings/drawing6.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8.vml"/><Relationship Id="rId1" Type="http://schemas.openxmlformats.org/officeDocument/2006/relationships/drawing" Target="../drawings/drawing7.xm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R67"/>
  <sheetViews>
    <sheetView showGridLines="0" zoomScale="50" zoomScaleNormal="50" workbookViewId="0">
      <pane xSplit="2" ySplit="6" topLeftCell="C22" activePane="bottomRight" state="frozen"/>
      <selection pane="topRight" activeCell="C1" sqref="C1"/>
      <selection pane="bottomLeft" activeCell="A7" sqref="A7"/>
      <selection pane="bottomRight" activeCell="B32" sqref="B32"/>
    </sheetView>
  </sheetViews>
  <sheetFormatPr defaultColWidth="9.140625" defaultRowHeight="15" x14ac:dyDescent="0.25"/>
  <cols>
    <col min="1" max="1" width="89.140625" customWidth="1"/>
    <col min="2" max="2" width="46.140625" customWidth="1"/>
    <col min="3" max="3" width="25.5703125" customWidth="1"/>
    <col min="4" max="4" width="27" style="2" customWidth="1"/>
  </cols>
  <sheetData>
    <row r="1" spans="1:7" ht="43.5" customHeight="1" x14ac:dyDescent="0.25">
      <c r="A1" s="126" t="s">
        <v>0</v>
      </c>
      <c r="B1" s="126"/>
      <c r="C1" s="126"/>
      <c r="D1" s="61"/>
    </row>
    <row r="2" spans="1:7" ht="18" customHeight="1" x14ac:dyDescent="0.25">
      <c r="A2" s="101" t="s">
        <v>110</v>
      </c>
      <c r="B2" s="101"/>
      <c r="C2" s="101"/>
      <c r="D2" s="101"/>
    </row>
    <row r="3" spans="1:7" ht="16.5" customHeight="1" x14ac:dyDescent="0.25">
      <c r="A3" s="59"/>
      <c r="B3" s="60"/>
      <c r="C3" s="60"/>
      <c r="D3"/>
    </row>
    <row r="4" spans="1:7" x14ac:dyDescent="0.25">
      <c r="A4" s="1" t="s">
        <v>1</v>
      </c>
      <c r="B4" s="4" t="s">
        <v>2</v>
      </c>
    </row>
    <row r="5" spans="1:7" x14ac:dyDescent="0.25">
      <c r="A5" s="3" t="s">
        <v>3</v>
      </c>
      <c r="B5" s="4">
        <v>250</v>
      </c>
    </row>
    <row r="6" spans="1:7" x14ac:dyDescent="0.25">
      <c r="D6"/>
    </row>
    <row r="7" spans="1:7" x14ac:dyDescent="0.25">
      <c r="A7" s="5" t="s">
        <v>4</v>
      </c>
      <c r="B7" s="6"/>
      <c r="C7" s="6"/>
      <c r="D7" s="6"/>
    </row>
    <row r="8" spans="1:7" x14ac:dyDescent="0.25">
      <c r="A8" s="106" t="s">
        <v>5</v>
      </c>
      <c r="B8" s="107"/>
      <c r="C8" s="107"/>
      <c r="D8" s="107"/>
    </row>
    <row r="9" spans="1:7" x14ac:dyDescent="0.25">
      <c r="A9" s="108" t="s">
        <v>6</v>
      </c>
      <c r="B9" s="109"/>
      <c r="C9" s="4" t="s">
        <v>7</v>
      </c>
      <c r="D9" s="7" t="str">
        <f t="shared" ref="D9:D15" si="0">IF(C9=G$9,"Required for at least bronze",IF(C9=F$9,"Bronze, Silver or Gold"))</f>
        <v>Required for at least bronze</v>
      </c>
      <c r="E9" s="8"/>
      <c r="F9" s="8" t="s">
        <v>8</v>
      </c>
      <c r="G9" s="8" t="s">
        <v>7</v>
      </c>
    </row>
    <row r="10" spans="1:7" x14ac:dyDescent="0.25">
      <c r="A10" s="110" t="s">
        <v>9</v>
      </c>
      <c r="B10" s="111"/>
      <c r="C10" s="4" t="s">
        <v>7</v>
      </c>
      <c r="D10" s="7" t="str">
        <f t="shared" si="0"/>
        <v>Required for at least bronze</v>
      </c>
    </row>
    <row r="11" spans="1:7" x14ac:dyDescent="0.25">
      <c r="A11" s="110" t="s">
        <v>10</v>
      </c>
      <c r="B11" s="111"/>
      <c r="C11" s="4" t="s">
        <v>7</v>
      </c>
      <c r="D11" s="7" t="str">
        <f t="shared" si="0"/>
        <v>Required for at least bronze</v>
      </c>
    </row>
    <row r="12" spans="1:7" x14ac:dyDescent="0.25">
      <c r="A12" s="110" t="s">
        <v>11</v>
      </c>
      <c r="B12" s="111"/>
      <c r="C12" s="4" t="s">
        <v>7</v>
      </c>
      <c r="D12" s="7" t="str">
        <f t="shared" si="0"/>
        <v>Required for at least bronze</v>
      </c>
    </row>
    <row r="13" spans="1:7" x14ac:dyDescent="0.25">
      <c r="A13" s="136" t="s">
        <v>12</v>
      </c>
      <c r="B13" s="137"/>
      <c r="C13" s="4" t="s">
        <v>7</v>
      </c>
      <c r="D13" s="7" t="str">
        <f t="shared" si="0"/>
        <v>Required for at least bronze</v>
      </c>
    </row>
    <row r="14" spans="1:7" x14ac:dyDescent="0.25">
      <c r="A14" s="136" t="s">
        <v>13</v>
      </c>
      <c r="B14" s="137"/>
      <c r="C14" s="4" t="s">
        <v>7</v>
      </c>
      <c r="D14" s="7" t="str">
        <f t="shared" si="0"/>
        <v>Required for at least bronze</v>
      </c>
    </row>
    <row r="15" spans="1:7" ht="15.75" thickBot="1" x14ac:dyDescent="0.3">
      <c r="A15" s="138" t="s">
        <v>14</v>
      </c>
      <c r="B15" s="139"/>
      <c r="C15" s="47" t="s">
        <v>7</v>
      </c>
      <c r="D15" s="48" t="str">
        <f t="shared" si="0"/>
        <v>Required for at least bronze</v>
      </c>
    </row>
    <row r="16" spans="1:7" x14ac:dyDescent="0.25">
      <c r="A16" s="140"/>
      <c r="B16" s="141"/>
      <c r="C16" s="141"/>
      <c r="D16" s="142"/>
    </row>
    <row r="17" spans="1:12" x14ac:dyDescent="0.25">
      <c r="A17" s="106" t="s">
        <v>15</v>
      </c>
      <c r="B17" s="107"/>
      <c r="C17" s="107"/>
      <c r="D17" s="107"/>
      <c r="E17" s="34"/>
      <c r="F17" s="34"/>
      <c r="G17" s="34"/>
      <c r="H17" s="34"/>
      <c r="I17" s="34"/>
      <c r="J17" s="34"/>
      <c r="K17" s="34"/>
      <c r="L17" s="34"/>
    </row>
    <row r="18" spans="1:12" ht="27.75" customHeight="1" x14ac:dyDescent="0.25">
      <c r="A18" s="110" t="s">
        <v>16</v>
      </c>
      <c r="B18" s="111"/>
      <c r="C18" s="4" t="s">
        <v>7</v>
      </c>
      <c r="D18" s="9" t="str">
        <f>IF(C18=G$9,"Required for at least bronze",IF(C18=F$9,"Bronze, Silver or Gold"))</f>
        <v>Required for at least bronze</v>
      </c>
      <c r="E18" s="34"/>
      <c r="F18" s="34"/>
      <c r="G18" s="34"/>
      <c r="H18" s="34"/>
      <c r="I18" s="34"/>
      <c r="J18" s="34"/>
      <c r="K18" s="34"/>
      <c r="L18" s="34"/>
    </row>
    <row r="19" spans="1:12" ht="28.5" customHeight="1" x14ac:dyDescent="0.25">
      <c r="A19" s="110" t="s">
        <v>17</v>
      </c>
      <c r="B19" s="111"/>
      <c r="C19" s="4" t="s">
        <v>7</v>
      </c>
      <c r="D19" s="9" t="str">
        <f>IF(C19=G$9,"Required for at least bronze",IF(C19=F$9,"Bronze, Silver or Gold"))</f>
        <v>Required for at least bronze</v>
      </c>
      <c r="E19" s="34"/>
      <c r="F19" s="34"/>
      <c r="G19" s="34"/>
      <c r="H19" s="34"/>
      <c r="I19" s="34"/>
      <c r="J19" s="34"/>
      <c r="K19" s="34"/>
      <c r="L19" s="34"/>
    </row>
    <row r="20" spans="1:12" x14ac:dyDescent="0.25">
      <c r="A20" s="128" t="s">
        <v>18</v>
      </c>
      <c r="B20" s="129"/>
      <c r="C20" s="4" t="s">
        <v>7</v>
      </c>
      <c r="D20" s="7" t="str">
        <f>IF(C20=G$9,"Required for at least bronze",IF(C20=F$9,"Bronze, Silver or Gold"))</f>
        <v>Required for at least bronze</v>
      </c>
      <c r="E20" s="34"/>
      <c r="F20" s="34"/>
      <c r="G20" s="34"/>
      <c r="H20" s="34"/>
      <c r="I20" s="34"/>
      <c r="J20" s="34"/>
      <c r="K20" s="34"/>
      <c r="L20" s="34"/>
    </row>
    <row r="21" spans="1:12" ht="15.75" thickBot="1" x14ac:dyDescent="0.3">
      <c r="A21" s="130" t="s">
        <v>19</v>
      </c>
      <c r="B21" s="131"/>
      <c r="C21" s="47" t="s">
        <v>7</v>
      </c>
      <c r="D21" s="48" t="str">
        <f>IF(C21=G$9,"Required for at least bronze",IF(C21=F$9,"Bronze, Silver or Gold"))</f>
        <v>Required for at least bronze</v>
      </c>
      <c r="E21" s="34"/>
      <c r="F21" s="34"/>
      <c r="G21" s="34"/>
      <c r="H21" s="34"/>
      <c r="I21" s="34"/>
      <c r="J21" s="34"/>
      <c r="K21" s="34"/>
      <c r="L21" s="34"/>
    </row>
    <row r="22" spans="1:12" x14ac:dyDescent="0.25">
      <c r="A22" s="2"/>
      <c r="B22" s="2"/>
      <c r="C22" s="2"/>
      <c r="E22" s="34"/>
      <c r="F22" s="34"/>
      <c r="G22" s="34"/>
      <c r="H22" s="34"/>
      <c r="I22" s="34"/>
      <c r="J22" s="34"/>
      <c r="K22" s="34"/>
      <c r="L22" s="34"/>
    </row>
    <row r="23" spans="1:12" x14ac:dyDescent="0.25">
      <c r="A23" s="132" t="s">
        <v>20</v>
      </c>
      <c r="B23" s="132"/>
      <c r="C23" s="132"/>
      <c r="D23" s="132"/>
      <c r="E23" s="34"/>
      <c r="F23" s="14" t="s">
        <v>21</v>
      </c>
      <c r="G23" s="8" t="s">
        <v>22</v>
      </c>
      <c r="H23" s="8" t="s">
        <v>23</v>
      </c>
      <c r="I23" s="34"/>
      <c r="J23" s="34"/>
      <c r="K23" s="34"/>
      <c r="L23" s="34"/>
    </row>
    <row r="24" spans="1:12" ht="42" customHeight="1" thickBot="1" x14ac:dyDescent="0.3">
      <c r="A24" s="36" t="s">
        <v>24</v>
      </c>
      <c r="B24" s="133" t="s">
        <v>21</v>
      </c>
      <c r="C24" s="134"/>
      <c r="D24" s="35" t="str">
        <f>IF(B24=$F$25,"Gold",IF(B24=$F$24,"Silver",IF(B24=$F$23,"Bronze")))</f>
        <v>Bronze</v>
      </c>
      <c r="E24" s="34"/>
      <c r="F24" s="14" t="s">
        <v>25</v>
      </c>
      <c r="G24" s="8" t="s">
        <v>26</v>
      </c>
      <c r="H24" s="8" t="s">
        <v>27</v>
      </c>
      <c r="I24" s="34"/>
      <c r="J24" s="34"/>
      <c r="K24" s="34"/>
      <c r="L24" s="34"/>
    </row>
    <row r="25" spans="1:12" ht="24" customHeight="1" x14ac:dyDescent="0.25">
      <c r="A25" s="50" t="s">
        <v>116</v>
      </c>
      <c r="B25" s="42" t="e">
        <f>SUM((COUNTIF('Year 3'!BO2:DL2,"&gt;0")),(COUNTIF(#REF!,"&gt;0")),(COUNTIF(#REF!,"&gt;0")),(COUNTIF(#REF!,"&gt;0")))</f>
        <v>#REF!</v>
      </c>
      <c r="C25" s="112"/>
      <c r="D25" s="113"/>
      <c r="E25" s="34"/>
      <c r="F25" s="14" t="s">
        <v>28</v>
      </c>
      <c r="G25" s="8" t="s">
        <v>29</v>
      </c>
      <c r="H25" s="8" t="s">
        <v>30</v>
      </c>
      <c r="I25" s="34"/>
      <c r="J25" s="34"/>
      <c r="K25" s="34"/>
      <c r="L25" s="34"/>
    </row>
    <row r="26" spans="1:12" ht="20.25" customHeight="1" x14ac:dyDescent="0.25">
      <c r="A26" s="37" t="s">
        <v>101</v>
      </c>
      <c r="B26" s="42" t="e">
        <f>COUNTIF(#REF!,"&gt;0")+COUNTIF(#REF!,"&gt;0")+COUNTIF(#REF!,"&gt;0")+COUNTIF(#REF!,"&gt;0")</f>
        <v>#REF!</v>
      </c>
      <c r="C26" s="114"/>
      <c r="D26" s="115"/>
      <c r="E26" s="34"/>
      <c r="I26" s="34"/>
      <c r="J26" s="34"/>
      <c r="K26" s="34"/>
      <c r="L26" s="34"/>
    </row>
    <row r="27" spans="1:12" ht="20.25" customHeight="1" x14ac:dyDescent="0.25">
      <c r="A27" s="33" t="s">
        <v>102</v>
      </c>
      <c r="B27" s="38" t="e">
        <f>'Year 3'!#REF!+#REF!+#REF!+#REF!</f>
        <v>#REF!</v>
      </c>
      <c r="C27" s="114"/>
      <c r="D27" s="115"/>
      <c r="E27" s="34"/>
      <c r="F27" s="49"/>
      <c r="G27" s="34"/>
      <c r="H27" s="34"/>
      <c r="I27" s="34"/>
      <c r="J27" s="34"/>
      <c r="K27" s="34"/>
      <c r="L27" s="34"/>
    </row>
    <row r="28" spans="1:12" ht="20.25" customHeight="1" x14ac:dyDescent="0.25">
      <c r="A28" s="33" t="s">
        <v>103</v>
      </c>
      <c r="B28" s="45" t="e">
        <f>B27/B26</f>
        <v>#REF!</v>
      </c>
      <c r="C28" s="114"/>
      <c r="D28" s="115"/>
      <c r="E28" s="34"/>
      <c r="F28" s="49"/>
      <c r="G28" s="34"/>
      <c r="H28" s="34"/>
      <c r="I28" s="34"/>
      <c r="J28" s="34"/>
      <c r="K28" s="34"/>
      <c r="L28" s="34"/>
    </row>
    <row r="29" spans="1:12" ht="20.25" customHeight="1" x14ac:dyDescent="0.25">
      <c r="A29" s="36" t="s">
        <v>113</v>
      </c>
      <c r="B29" s="62" t="e">
        <f>(COUNTIF(#REF!,"&gt;0")+COUNTIF(#REF!,"&gt;0")+COUNTIF(#REF!,"&gt;0")+COUNTIF(#REF!,"&gt;0"))/B5</f>
        <v>#REF!</v>
      </c>
      <c r="C29" s="114"/>
      <c r="D29" s="115"/>
      <c r="E29" s="34"/>
      <c r="F29" s="49"/>
      <c r="G29" s="34"/>
      <c r="H29" s="34"/>
      <c r="I29" s="34"/>
      <c r="J29" s="34"/>
      <c r="K29" s="34"/>
      <c r="L29" s="34"/>
    </row>
    <row r="30" spans="1:12" ht="34.5" customHeight="1" thickBot="1" x14ac:dyDescent="0.3">
      <c r="A30" s="43" t="s">
        <v>24</v>
      </c>
      <c r="B30" s="133" t="s">
        <v>22</v>
      </c>
      <c r="C30" s="135"/>
      <c r="D30" s="44" t="str">
        <f>IF(B30=$G$25,"Gold",IF(B30=$G$24,"Silver",IF(B30=$G$23,"Bronze")))</f>
        <v>Bronze</v>
      </c>
      <c r="E30" s="34"/>
      <c r="I30" s="34"/>
      <c r="J30" s="34"/>
      <c r="K30" s="34"/>
      <c r="L30" s="34"/>
    </row>
    <row r="31" spans="1:12" ht="21" customHeight="1" x14ac:dyDescent="0.25">
      <c r="A31" s="41" t="s">
        <v>293</v>
      </c>
      <c r="B31" s="42" t="e">
        <f>'Year 3'!J2+#REF!+#REF!+#REF!</f>
        <v>#REF!</v>
      </c>
      <c r="C31" s="116"/>
      <c r="D31" s="117"/>
      <c r="E31" s="34"/>
      <c r="F31" s="49"/>
      <c r="G31" s="34"/>
      <c r="H31" s="34"/>
      <c r="I31" s="34"/>
      <c r="J31" s="34"/>
      <c r="K31" s="34"/>
      <c r="L31" s="34"/>
    </row>
    <row r="32" spans="1:12" ht="21" customHeight="1" x14ac:dyDescent="0.25">
      <c r="A32" s="40" t="s">
        <v>294</v>
      </c>
      <c r="B32" s="38" t="e">
        <f>SUMIFS(#REF!,Table1[Least active],"1",#REF!,"&gt;0")
+SUMIFS(#REF!,Table1[Least active],"1",#REF!,"&gt;0",#REF!,"0")
+SUMIFS(#REF!,Table1[Least active],"1",#REF!,"&gt;0",#REF!, "0",#REF!,"0")
+SUMIFS(#REF!,Table1[Least active],"1",#REF!,"&gt;0",#REF!,"0",#REF!, "0",#REF!,"0")
+SUMIFS(#REF!,#REF!,"1",#REF!,"&gt;0")
+SUMIFS(#REF!,#REF!,"1",#REF!,"&gt;0",#REF!,"0")
+SUMIFS(#REF!,#REF!,"1",#REF!,"&gt;0",#REF!, "0",#REF!,"0")
+SUMIFS(#REF!,#REF!,"1",#REF!,"&gt;0",#REF!,"0",#REF!, "0",#REF!,"0")
+SUMIFS(#REF!,#REF!,"1",#REF!,"&gt;0")
+SUMIFS(#REF!,#REF!,"1",#REF!,"&gt;0",#REF!,"0")
+SUMIFS(#REF!,#REF!,"1",#REF!,"&gt;0",#REF!, "0",#REF!,"0")
+SUMIFS(#REF!,#REF!,"1",#REF!,"&gt;0",#REF!,"0",#REF!, "0",#REF!,"0")
+SUMIFS(#REF!,#REF!,"1",#REF!,"&gt;0")
+SUMIFS(#REF!,#REF!,"1",#REF!,"&gt;0",#REF!,"0")
+SUMIFS(#REF!,#REF!,"1",#REF!,"&gt;0",#REF!, "0",#REF!,"0")
+SUMIFS(#REF!,#REF!,"1",#REF!,"&gt;0",#REF!,"0",#REF!, "0",#REF!,"0")</f>
        <v>#REF!</v>
      </c>
      <c r="C32" s="118"/>
      <c r="D32" s="119"/>
      <c r="E32" s="34"/>
      <c r="F32" s="49"/>
      <c r="G32" s="34"/>
      <c r="H32" s="34"/>
      <c r="I32" s="34"/>
      <c r="J32" s="34"/>
      <c r="K32" s="34"/>
      <c r="L32" s="34"/>
    </row>
    <row r="33" spans="1:12" ht="21" customHeight="1" x14ac:dyDescent="0.25">
      <c r="A33" s="40" t="s">
        <v>295</v>
      </c>
      <c r="B33" s="39" t="e">
        <f>B32/B31</f>
        <v>#REF!</v>
      </c>
      <c r="C33" s="118"/>
      <c r="D33" s="119"/>
      <c r="E33" s="34"/>
      <c r="F33" s="49"/>
      <c r="G33" s="34"/>
      <c r="H33" s="34"/>
      <c r="I33" s="34"/>
      <c r="J33" s="34"/>
      <c r="K33" s="34"/>
      <c r="L33" s="34"/>
    </row>
    <row r="34" spans="1:12" ht="21" customHeight="1" x14ac:dyDescent="0.25">
      <c r="A34" s="36" t="s">
        <v>114</v>
      </c>
      <c r="B34" s="62" t="e">
        <f>(IF((COUNTIFS(Table1[Least active],"1",#REF!,"&gt;0")),1,0)
+
IF((COUNTIFS(#REF!,"1",#REF!,"&gt;0")),1,0)
+
IF((COUNTIFS(#REF!,"1",#REF!,"&gt;0")),1,0)
+
IF((COUNTIFS(#REF!,"1",#REF!,"&gt;0")),1,0))/('Year 3'!J2+#REF!+#REF!+#REF!)</f>
        <v>#REF!</v>
      </c>
      <c r="C34" s="120"/>
      <c r="D34" s="121"/>
      <c r="E34" s="34"/>
      <c r="F34" s="49"/>
      <c r="G34" s="34"/>
      <c r="H34" s="34"/>
      <c r="I34" s="34"/>
      <c r="J34" s="34"/>
      <c r="K34" s="34"/>
      <c r="L34" s="34"/>
    </row>
    <row r="35" spans="1:12" ht="60" customHeight="1" thickBot="1" x14ac:dyDescent="0.3">
      <c r="A35" s="46" t="s">
        <v>100</v>
      </c>
      <c r="B35" s="133" t="s">
        <v>30</v>
      </c>
      <c r="C35" s="135"/>
      <c r="D35" s="44" t="str">
        <f>IF(B35=$H$25,"Gold",IF(B35=$H$24,"Silver",IF(B35=$H$23,"Bronze")))</f>
        <v>Gold</v>
      </c>
      <c r="E35" s="34"/>
      <c r="F35" s="34"/>
      <c r="G35" s="34"/>
      <c r="H35" s="34"/>
      <c r="I35" s="34"/>
      <c r="J35" s="34"/>
      <c r="K35" s="34"/>
      <c r="L35" s="34"/>
    </row>
    <row r="36" spans="1:12" ht="15" customHeight="1" x14ac:dyDescent="0.25">
      <c r="A36" s="10"/>
      <c r="B36" s="10"/>
      <c r="C36" s="10"/>
      <c r="D36" s="10"/>
      <c r="E36" s="34"/>
      <c r="F36" s="34"/>
      <c r="G36" s="34"/>
      <c r="H36" s="34"/>
      <c r="I36" s="34"/>
      <c r="J36" s="34"/>
      <c r="K36" s="34"/>
      <c r="L36" s="34"/>
    </row>
    <row r="37" spans="1:12" ht="45.75" customHeight="1" x14ac:dyDescent="0.25">
      <c r="A37" s="28" t="s">
        <v>15</v>
      </c>
      <c r="B37" s="31" t="s">
        <v>98</v>
      </c>
      <c r="C37" s="31" t="s">
        <v>97</v>
      </c>
      <c r="D37" s="32" t="s">
        <v>99</v>
      </c>
      <c r="E37" s="34"/>
      <c r="F37" s="34"/>
      <c r="G37" s="34"/>
      <c r="H37" s="34"/>
      <c r="I37" s="34"/>
      <c r="J37" s="34"/>
      <c r="K37" s="34"/>
      <c r="L37" s="34"/>
    </row>
    <row r="38" spans="1:12" s="12" customFormat="1" x14ac:dyDescent="0.25">
      <c r="A38" s="11" t="s">
        <v>31</v>
      </c>
      <c r="B38" s="52" t="e">
        <f>('Year 3'!#REF!+#REF!+#REF!+#REF!)</f>
        <v>#REF!</v>
      </c>
      <c r="C38" s="53" t="e">
        <f>SUM((COUNTIF('Year 3'!Q2:BN2,"&gt;0")),(COUNTIF(#REF!,"&gt;0")),(COUNTIF(#REF!,"&gt;0")),(COUNTIF(#REF!,"&gt;0")))</f>
        <v>#REF!</v>
      </c>
      <c r="D38" s="29" t="e">
        <f>IF(C38&gt;1,"Gold",IF(C38&gt;0,"Silver","Bronze"))</f>
        <v>#REF!</v>
      </c>
      <c r="E38" s="10"/>
      <c r="F38" s="10"/>
    </row>
    <row r="39" spans="1:12" s="12" customFormat="1" x14ac:dyDescent="0.25">
      <c r="A39" s="11" t="s">
        <v>32</v>
      </c>
      <c r="B39" s="54" t="e">
        <f>('Year 3'!#REF!+#REF!+#REF!+#REF!)</f>
        <v>#REF!</v>
      </c>
      <c r="C39" s="53" t="e">
        <f>SUM((COUNTIF('Year 3'!DM2:FJ2,"&gt;0")),(COUNTIF(#REF!,"&gt;0")),(COUNTIF(#REF!,"&gt;0")),(COUNTIF(#REF!,"&gt;0")))</f>
        <v>#REF!</v>
      </c>
      <c r="D39" s="29" t="e">
        <f>IF(B5&lt;51,VLOOKUP(C39,Lookups!$B$2:$C$6,2,TRUE),IF(B5&lt;130,VLOOKUP(C39,Lookups!$D$2:$E$6,2,TRUE),IF(B5&lt;500,VLOOKUP(C39,Lookups!$F$2:$G$6,2,TRUE),VLOOKUP(C39,Lookups!$H$2:$I$6,2,TRUE))))</f>
        <v>#REF!</v>
      </c>
    </row>
    <row r="40" spans="1:12" s="12" customFormat="1" x14ac:dyDescent="0.25">
      <c r="A40" s="11" t="s">
        <v>33</v>
      </c>
      <c r="B40" s="54" t="e">
        <f>('Year 3'!#REF!+#REF!+#REF!+#REF!)</f>
        <v>#REF!</v>
      </c>
      <c r="C40" s="53" t="e">
        <f>SUM((COUNTIF('Year 3'!FK2:HH2,"&gt;0")),(COUNTIF(#REF!,"&gt;0")),(COUNTIF(#REF!,"&gt;0")),(COUNTIF(#REF!,"&gt;0")))</f>
        <v>#REF!</v>
      </c>
      <c r="D40" s="29" t="e">
        <f>IF(B5&lt;51,VLOOKUP(C40,Lookups!$B$8:$C$11,2,TRUE),IF(B5&lt;130,VLOOKUP(C40,Lookups!$D$8:$E$11,2,TRUE),IF(B5&lt;500,VLOOKUP(C40,Lookups!$F$8:$G$11,2,TRUE),VLOOKUP(C40,Lookups!$H$8:$I$11,2,TRUE))))</f>
        <v>#REF!</v>
      </c>
    </row>
    <row r="41" spans="1:12" s="12" customFormat="1" x14ac:dyDescent="0.25">
      <c r="A41" s="11" t="s">
        <v>34</v>
      </c>
      <c r="B41" s="122"/>
      <c r="C41" s="63">
        <v>0</v>
      </c>
      <c r="D41" s="29" t="str">
        <f>IF(B5&lt;51,VLOOKUP(C41,Lookups!$B$13:$C$16,2,TRUE),IF(B5&lt;130,VLOOKUP(C41,Lookups!$D$13:$E$16,2,TRUE),IF(B5&lt;500,VLOOKUP(C41,Lookups!$F$13:$G$16,2,TRUE),VLOOKUP(C41,Lookups!$H$13:$I$16,2,TRUE))))</f>
        <v>Bronze</v>
      </c>
    </row>
    <row r="42" spans="1:12" s="12" customFormat="1" x14ac:dyDescent="0.25">
      <c r="A42" s="11" t="s">
        <v>35</v>
      </c>
      <c r="B42" s="123"/>
      <c r="C42" s="63">
        <v>0</v>
      </c>
      <c r="D42" s="29" t="str">
        <f>IF(B5&lt;51,VLOOKUP(C42,Lookups!$B$18:$C$19,2,TRUE),IF(B5&lt;130,VLOOKUP(C42,Lookups!$D$18:$E$19,2,TRUE),IF(B5&lt;500,VLOOKUP(C42,Lookups!$F$18:$G$19,2,TRUE),VLOOKUP(C42,Lookups!$H$18:$I$19,2,TRUE))))</f>
        <v>Bronze or Silver</v>
      </c>
    </row>
    <row r="43" spans="1:12" x14ac:dyDescent="0.25">
      <c r="D43"/>
    </row>
    <row r="44" spans="1:12" x14ac:dyDescent="0.25">
      <c r="A44" s="106" t="s">
        <v>36</v>
      </c>
      <c r="B44" s="107"/>
      <c r="C44" s="107"/>
      <c r="D44" s="107"/>
    </row>
    <row r="45" spans="1:12" ht="30.75" customHeight="1" x14ac:dyDescent="0.25">
      <c r="A45" s="104" t="s">
        <v>104</v>
      </c>
      <c r="B45" s="105"/>
      <c r="C45" s="55" t="s">
        <v>7</v>
      </c>
      <c r="D45" s="9" t="str">
        <f>IF(C45=G$9,"Bronze or Silver",IF(C45=F$9,"Gold"))</f>
        <v>Bronze or Silver</v>
      </c>
    </row>
    <row r="46" spans="1:12" x14ac:dyDescent="0.25">
      <c r="A46" s="124" t="s">
        <v>37</v>
      </c>
      <c r="B46" s="125"/>
      <c r="C46" s="56" t="e">
        <f>'Year 3'!I2+#REF!+#REF!+#REF!</f>
        <v>#REF!</v>
      </c>
      <c r="D46" s="57"/>
    </row>
    <row r="47" spans="1:12" ht="27.75" customHeight="1" x14ac:dyDescent="0.25">
      <c r="A47" s="102" t="s">
        <v>38</v>
      </c>
      <c r="B47" s="103"/>
      <c r="C47" s="58" t="e">
        <f>C46/B5</f>
        <v>#REF!</v>
      </c>
      <c r="D47" s="51" t="e">
        <f>IF(C47&gt;=20%,"Gold",IF(C47&gt;=10%,"Silver - 20% needed to reach gold",IF(C47&gt;=5%,"Bronze - 10% needed to reach silver",IF(C47&lt;5%,"Not enough for bronze level - 5% needed"))))</f>
        <v>#REF!</v>
      </c>
    </row>
    <row r="48" spans="1:12" ht="21" customHeight="1" x14ac:dyDescent="0.25">
      <c r="A48" s="102" t="s">
        <v>105</v>
      </c>
      <c r="B48" s="103"/>
      <c r="C48" s="55" t="s">
        <v>7</v>
      </c>
      <c r="D48" s="9" t="str">
        <f>IF(C48=G$9,"Bronze or Silver",IF(C48=F$9,"Gold"))</f>
        <v>Bronze or Silver</v>
      </c>
    </row>
    <row r="49" spans="1:96" ht="21" customHeight="1" x14ac:dyDescent="0.25">
      <c r="A49" s="102" t="s">
        <v>111</v>
      </c>
      <c r="B49" s="103"/>
      <c r="C49" s="55" t="s">
        <v>7</v>
      </c>
      <c r="D49" s="9" t="str">
        <f>IF(C49=G$9,"Bronze",IF(C49=F$9,"Silver or Gold"))</f>
        <v>Bronze</v>
      </c>
    </row>
    <row r="50" spans="1:96" ht="21" customHeight="1" x14ac:dyDescent="0.25">
      <c r="A50" s="102" t="s">
        <v>112</v>
      </c>
      <c r="B50" s="103"/>
      <c r="C50" s="55" t="s">
        <v>7</v>
      </c>
      <c r="D50" s="9" t="str">
        <f>IF(C50=G$9,"Bronze",IF(C50=F$9,"Silver or Gold"))</f>
        <v>Bronze</v>
      </c>
    </row>
    <row r="51" spans="1:96" ht="30" customHeight="1" x14ac:dyDescent="0.25">
      <c r="A51" s="104" t="s">
        <v>106</v>
      </c>
      <c r="B51" s="105"/>
      <c r="C51" s="55" t="s">
        <v>7</v>
      </c>
      <c r="D51" s="9" t="str">
        <f>IF(C51=G$9,"Bronze",IF(C51=F$9,"Silver or Gold"))</f>
        <v>Bronze</v>
      </c>
    </row>
    <row r="52" spans="1:96" ht="21" customHeight="1" x14ac:dyDescent="0.25">
      <c r="A52" s="102" t="s">
        <v>107</v>
      </c>
      <c r="B52" s="103"/>
      <c r="C52" s="55" t="s">
        <v>7</v>
      </c>
      <c r="D52" s="9" t="str">
        <f>IF(C52=G$9,"Bronze or Silver",IF(C52=F$9,"Gold"))</f>
        <v>Bronze or Silver</v>
      </c>
    </row>
    <row r="53" spans="1:96" x14ac:dyDescent="0.25">
      <c r="A53" s="127"/>
      <c r="B53" s="127"/>
      <c r="C53" s="127"/>
      <c r="D53" s="127"/>
    </row>
    <row r="54" spans="1:96" s="13" customFormat="1" x14ac:dyDescent="0.25">
      <c r="A54" s="106" t="s">
        <v>108</v>
      </c>
      <c r="B54" s="107"/>
      <c r="C54" s="107"/>
      <c r="D54" s="107"/>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row>
    <row r="55" spans="1:96" ht="66.75" customHeight="1" x14ac:dyDescent="0.25">
      <c r="A55" s="104" t="s">
        <v>109</v>
      </c>
      <c r="B55" s="105"/>
      <c r="C55" s="55">
        <v>0</v>
      </c>
      <c r="D55" s="9" t="str">
        <f>IF(C55&lt;3,"Bronze",IF(C55&lt;5,"Silver","Gold"))</f>
        <v>Bronze</v>
      </c>
    </row>
    <row r="56" spans="1:96" x14ac:dyDescent="0.25">
      <c r="A56" s="2"/>
      <c r="B56" s="2"/>
      <c r="C56" s="2"/>
    </row>
    <row r="57" spans="1:96" x14ac:dyDescent="0.25">
      <c r="A57" s="2"/>
      <c r="B57" s="2"/>
      <c r="C57" s="2"/>
    </row>
    <row r="58" spans="1:96" x14ac:dyDescent="0.25">
      <c r="A58" s="2"/>
      <c r="B58" s="2"/>
      <c r="C58" s="2"/>
    </row>
    <row r="59" spans="1:96" x14ac:dyDescent="0.25">
      <c r="A59" s="2"/>
      <c r="B59" s="2"/>
      <c r="C59" s="2"/>
    </row>
    <row r="60" spans="1:96" x14ac:dyDescent="0.25">
      <c r="A60" s="2"/>
      <c r="B60" s="2"/>
      <c r="C60" s="2"/>
    </row>
    <row r="61" spans="1:96" x14ac:dyDescent="0.25">
      <c r="A61" s="2"/>
      <c r="B61" s="2"/>
      <c r="C61" s="2"/>
    </row>
    <row r="62" spans="1:96" x14ac:dyDescent="0.25">
      <c r="A62" s="2"/>
      <c r="B62" s="2"/>
      <c r="C62" s="2"/>
    </row>
    <row r="63" spans="1:96" x14ac:dyDescent="0.25">
      <c r="A63" s="2"/>
      <c r="B63" s="2"/>
      <c r="C63" s="2"/>
    </row>
    <row r="64" spans="1:96" x14ac:dyDescent="0.25">
      <c r="A64" s="2"/>
      <c r="B64" s="2"/>
      <c r="C64" s="2"/>
    </row>
    <row r="65" spans="1:3" x14ac:dyDescent="0.25">
      <c r="A65" s="2"/>
      <c r="B65" s="2"/>
      <c r="C65" s="2"/>
    </row>
    <row r="66" spans="1:3" x14ac:dyDescent="0.25">
      <c r="A66" s="2"/>
      <c r="B66" s="2"/>
      <c r="C66" s="2"/>
    </row>
    <row r="67" spans="1:3" x14ac:dyDescent="0.25">
      <c r="A67" s="2"/>
      <c r="B67" s="2"/>
      <c r="C67" s="2"/>
    </row>
  </sheetData>
  <mergeCells count="35">
    <mergeCell ref="A1:C1"/>
    <mergeCell ref="A44:D44"/>
    <mergeCell ref="A53:D53"/>
    <mergeCell ref="A19:B19"/>
    <mergeCell ref="A20:B20"/>
    <mergeCell ref="A21:B21"/>
    <mergeCell ref="A23:D23"/>
    <mergeCell ref="B24:C24"/>
    <mergeCell ref="B30:C30"/>
    <mergeCell ref="B35:C35"/>
    <mergeCell ref="A13:B13"/>
    <mergeCell ref="A14:B14"/>
    <mergeCell ref="A15:B15"/>
    <mergeCell ref="A16:D16"/>
    <mergeCell ref="A17:D17"/>
    <mergeCell ref="A18:B18"/>
    <mergeCell ref="A55:B55"/>
    <mergeCell ref="A45:B45"/>
    <mergeCell ref="A46:B46"/>
    <mergeCell ref="A47:B47"/>
    <mergeCell ref="A48:B48"/>
    <mergeCell ref="A49:B49"/>
    <mergeCell ref="A2:D2"/>
    <mergeCell ref="A50:B50"/>
    <mergeCell ref="A51:B51"/>
    <mergeCell ref="A52:B52"/>
    <mergeCell ref="A54:D54"/>
    <mergeCell ref="A8:D8"/>
    <mergeCell ref="A9:B9"/>
    <mergeCell ref="A10:B10"/>
    <mergeCell ref="A11:B11"/>
    <mergeCell ref="A12:B12"/>
    <mergeCell ref="C25:D29"/>
    <mergeCell ref="C31:D34"/>
    <mergeCell ref="B41:B42"/>
  </mergeCells>
  <conditionalFormatting sqref="D47 D24 D35 D30">
    <cfRule type="expression" dxfId="1462" priority="39">
      <formula>$B$5&gt;120</formula>
    </cfRule>
  </conditionalFormatting>
  <conditionalFormatting sqref="A40">
    <cfRule type="cellIs" dxfId="1461" priority="30" operator="equal">
      <formula>"Required for at least bronze"</formula>
    </cfRule>
    <cfRule type="cellIs" dxfId="1460" priority="31" operator="equal">
      <formula>"Bronze"</formula>
    </cfRule>
  </conditionalFormatting>
  <conditionalFormatting sqref="D24 D30 D35:D47 A56:C67 D53 D56:D216">
    <cfRule type="cellIs" dxfId="1459" priority="32" operator="equal">
      <formula>"Gold"</formula>
    </cfRule>
    <cfRule type="cellIs" dxfId="1458" priority="33" operator="equal">
      <formula>"Silver"</formula>
    </cfRule>
  </conditionalFormatting>
  <conditionalFormatting sqref="D30 D35:D47 A56:C67 D53 D56:D216 D4:D24">
    <cfRule type="cellIs" dxfId="1457" priority="34" operator="equal">
      <formula>"Required for at least bronze"</formula>
    </cfRule>
    <cfRule type="cellIs" dxfId="1456" priority="35" operator="equal">
      <formula>"Bronze"</formula>
    </cfRule>
  </conditionalFormatting>
  <conditionalFormatting sqref="D47">
    <cfRule type="cellIs" dxfId="1455" priority="27" operator="equal">
      <formula>"Silver - 20% needed to reach gold"</formula>
    </cfRule>
    <cfRule type="cellIs" dxfId="1454" priority="28" operator="equal">
      <formula>"Bronze - 10% needed to reach silver"</formula>
    </cfRule>
    <cfRule type="cellIs" dxfId="1453" priority="29" operator="equal">
      <formula>"Not enough for bronze level - 5% needed"</formula>
    </cfRule>
  </conditionalFormatting>
  <conditionalFormatting sqref="D48">
    <cfRule type="cellIs" dxfId="1452" priority="23" operator="equal">
      <formula>"Gold"</formula>
    </cfRule>
    <cfRule type="cellIs" dxfId="1451" priority="24" operator="equal">
      <formula>"Silver"</formula>
    </cfRule>
  </conditionalFormatting>
  <conditionalFormatting sqref="D48">
    <cfRule type="cellIs" dxfId="1450" priority="25" operator="equal">
      <formula>"Required for at least bronze"</formula>
    </cfRule>
    <cfRule type="cellIs" dxfId="1449" priority="26" operator="equal">
      <formula>"Bronze"</formula>
    </cfRule>
  </conditionalFormatting>
  <conditionalFormatting sqref="D49:D50">
    <cfRule type="cellIs" dxfId="1448" priority="19" operator="equal">
      <formula>"Gold"</formula>
    </cfRule>
    <cfRule type="cellIs" dxfId="1447" priority="20" operator="equal">
      <formula>"Silver"</formula>
    </cfRule>
  </conditionalFormatting>
  <conditionalFormatting sqref="D49:D50">
    <cfRule type="cellIs" dxfId="1446" priority="21" operator="equal">
      <formula>"Required for at least bronze"</formula>
    </cfRule>
    <cfRule type="cellIs" dxfId="1445" priority="22" operator="equal">
      <formula>"Bronze"</formula>
    </cfRule>
  </conditionalFormatting>
  <conditionalFormatting sqref="D51">
    <cfRule type="cellIs" dxfId="1444" priority="15" operator="equal">
      <formula>"Gold"</formula>
    </cfRule>
    <cfRule type="cellIs" dxfId="1443" priority="16" operator="equal">
      <formula>"Silver"</formula>
    </cfRule>
  </conditionalFormatting>
  <conditionalFormatting sqref="D51">
    <cfRule type="cellIs" dxfId="1442" priority="17" operator="equal">
      <formula>"Required for at least bronze"</formula>
    </cfRule>
    <cfRule type="cellIs" dxfId="1441" priority="18" operator="equal">
      <formula>"Bronze"</formula>
    </cfRule>
  </conditionalFormatting>
  <conditionalFormatting sqref="D52">
    <cfRule type="cellIs" dxfId="1440" priority="11" operator="equal">
      <formula>"Gold"</formula>
    </cfRule>
    <cfRule type="cellIs" dxfId="1439" priority="12" operator="equal">
      <formula>"Silver"</formula>
    </cfRule>
  </conditionalFormatting>
  <conditionalFormatting sqref="D52">
    <cfRule type="cellIs" dxfId="1438" priority="13" operator="equal">
      <formula>"Required for at least bronze"</formula>
    </cfRule>
    <cfRule type="cellIs" dxfId="1437" priority="14" operator="equal">
      <formula>"Bronze"</formula>
    </cfRule>
  </conditionalFormatting>
  <conditionalFormatting sqref="D54">
    <cfRule type="cellIs" dxfId="1436" priority="7" operator="equal">
      <formula>"Gold"</formula>
    </cfRule>
    <cfRule type="cellIs" dxfId="1435" priority="8" operator="equal">
      <formula>"Silver"</formula>
    </cfRule>
  </conditionalFormatting>
  <conditionalFormatting sqref="D54">
    <cfRule type="cellIs" dxfId="1434" priority="9" operator="equal">
      <formula>"Required for at least bronze"</formula>
    </cfRule>
    <cfRule type="cellIs" dxfId="1433" priority="10" operator="equal">
      <formula>"Bronze"</formula>
    </cfRule>
  </conditionalFormatting>
  <conditionalFormatting sqref="D55">
    <cfRule type="cellIs" dxfId="1432" priority="3" operator="equal">
      <formula>"Gold"</formula>
    </cfRule>
    <cfRule type="cellIs" dxfId="1431" priority="4" operator="equal">
      <formula>"Silver"</formula>
    </cfRule>
  </conditionalFormatting>
  <conditionalFormatting sqref="D55">
    <cfRule type="cellIs" dxfId="1430" priority="5" operator="equal">
      <formula>"Required for at least bronze"</formula>
    </cfRule>
    <cfRule type="cellIs" dxfId="1429" priority="6" operator="equal">
      <formula>"Bronze"</formula>
    </cfRule>
  </conditionalFormatting>
  <dataValidations disablePrompts="1" count="4">
    <dataValidation type="list" allowBlank="1" showInputMessage="1" showErrorMessage="1" sqref="C48:C52 C17:C21 C9:C15 C45">
      <formula1>$F$9:$G$9</formula1>
    </dataValidation>
    <dataValidation type="list" allowBlank="1" showInputMessage="1" showErrorMessage="1" sqref="B30:C30">
      <formula1>$G$23:$G$25</formula1>
    </dataValidation>
    <dataValidation type="list" allowBlank="1" showInputMessage="1" showErrorMessage="1" sqref="B24:C24">
      <formula1>$F$23:$F$25</formula1>
    </dataValidation>
    <dataValidation type="list" allowBlank="1" showInputMessage="1" showErrorMessage="1" sqref="B35:C35">
      <formula1>$H$23:$H$28</formula1>
    </dataValidation>
  </dataValidations>
  <hyperlinks>
    <hyperlink ref="A9:B9" r:id="rId1" display="Have you registered for the School Games? It takes two minutes, here. "/>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46"/>
  <sheetViews>
    <sheetView showGridLines="0" tabSelected="1" topLeftCell="A7" zoomScaleNormal="100" workbookViewId="0">
      <selection activeCell="D30" sqref="D30"/>
    </sheetView>
  </sheetViews>
  <sheetFormatPr defaultRowHeight="15" x14ac:dyDescent="0.25"/>
  <cols>
    <col min="1" max="1" width="6.85546875" customWidth="1"/>
    <col min="2" max="2" width="26.140625" customWidth="1"/>
    <col min="3" max="3" width="14.140625" customWidth="1"/>
    <col min="4" max="4" width="12" customWidth="1"/>
    <col min="5" max="10" width="10.42578125" customWidth="1"/>
    <col min="11" max="11" width="11.42578125" customWidth="1"/>
    <col min="12" max="12" width="13.42578125" customWidth="1"/>
    <col min="13" max="13" width="12.28515625" customWidth="1"/>
    <col min="14" max="14" width="12.5703125" customWidth="1"/>
  </cols>
  <sheetData>
    <row r="2" spans="2:14" x14ac:dyDescent="0.25">
      <c r="B2" s="19" t="s">
        <v>303</v>
      </c>
    </row>
    <row r="4" spans="2:14" x14ac:dyDescent="0.25">
      <c r="B4" s="3" t="s">
        <v>1</v>
      </c>
      <c r="C4" s="4" t="s">
        <v>2</v>
      </c>
    </row>
    <row r="5" spans="2:14" x14ac:dyDescent="0.25">
      <c r="B5" s="3" t="s">
        <v>300</v>
      </c>
      <c r="C5" s="4">
        <v>250</v>
      </c>
    </row>
    <row r="7" spans="2:14" x14ac:dyDescent="0.25">
      <c r="B7" s="143" t="s">
        <v>296</v>
      </c>
      <c r="C7" s="143"/>
      <c r="D7" s="143"/>
      <c r="E7" s="143"/>
      <c r="F7" s="143"/>
      <c r="G7" s="143"/>
      <c r="H7" s="143"/>
      <c r="I7" s="143"/>
      <c r="J7" s="143"/>
      <c r="K7" s="143"/>
      <c r="L7" s="143"/>
      <c r="M7" s="143"/>
      <c r="N7" s="143"/>
    </row>
    <row r="8" spans="2:14" ht="63.75" customHeight="1" x14ac:dyDescent="0.25">
      <c r="B8" s="69" t="s">
        <v>310</v>
      </c>
      <c r="C8" s="84" t="s">
        <v>302</v>
      </c>
      <c r="D8" s="84" t="s">
        <v>308</v>
      </c>
      <c r="E8" s="81" t="s">
        <v>325</v>
      </c>
      <c r="F8" s="81" t="s">
        <v>326</v>
      </c>
      <c r="G8" s="84" t="s">
        <v>327</v>
      </c>
      <c r="H8" s="84" t="s">
        <v>328</v>
      </c>
      <c r="I8" s="84" t="s">
        <v>329</v>
      </c>
      <c r="J8" s="84" t="s">
        <v>330</v>
      </c>
      <c r="K8" s="84" t="s">
        <v>304</v>
      </c>
      <c r="L8" s="84" t="s">
        <v>309</v>
      </c>
      <c r="M8" s="84" t="s">
        <v>322</v>
      </c>
      <c r="N8" s="85" t="s">
        <v>331</v>
      </c>
    </row>
    <row r="9" spans="2:14" x14ac:dyDescent="0.25">
      <c r="B9" s="69" t="s">
        <v>297</v>
      </c>
      <c r="C9" s="68">
        <f>COUNTIFS(Table1910[Total Challenges],"&gt;0",Table1910[Gender],"M")+COUNTIFS(Table19[Total Challenges],"&gt;0",Table19[Gender],"M")</f>
        <v>4</v>
      </c>
      <c r="D9" s="77">
        <f>Table2[[#This Row],[Personal Challenge / Virtual Competition]]/(COUNTIF(Table1910[Gender],"M")+COUNTIF(Table19[Gender],"M"))</f>
        <v>0.8</v>
      </c>
      <c r="E9" s="68">
        <f>COUNTIFS(Table1910[Total Ex-C Clubs],"&gt;0",Table1910[Gender],"M")+COUNTIFS(Table19[Total Ex-C Clubs],"&gt;0",Table19[Gender],"M")</f>
        <v>2</v>
      </c>
      <c r="F9" s="77">
        <f>Table2[[#This Row],[Extra-Curricular Club]]/(COUNTIF(Table1910[Gender],"M")+COUNTIF(Table19[Gender],"M"))</f>
        <v>0.4</v>
      </c>
      <c r="G9" s="68">
        <f>COUNTIFS(Table1910[Total Intra-School Sports],"&gt;0",Table1910[Gender],"M")+COUNTIFS(Table19[Total Intra-School Sports],"&gt;0",Table19[Gender],"M")</f>
        <v>1</v>
      </c>
      <c r="H9" s="77">
        <f>Table2[[#This Row],[Intra-School Comp]]/(COUNTIF(Table1910[Gender],"M")+COUNTIF(Table19[Gender],"M"))</f>
        <v>0.2</v>
      </c>
      <c r="I9" s="68">
        <f>COUNTIFS(Table1910[Total Inter-School Sports],"&gt;0",Table1910[Gender],"M")+COUNTIFS(Table19[Total Inter-School Sports],"&gt;0",Table19[Gender],"M")</f>
        <v>2</v>
      </c>
      <c r="J9" s="77">
        <f>Table2[[#This Row],[Inter-School Comp]]/(COUNTIF(Table1910[Gender],"M")+COUNTIF(Table19[Gender],"M"))</f>
        <v>0.4</v>
      </c>
      <c r="K9" s="68">
        <f>COUNTIFS(Table1910[Community Clubs],"&gt;0",Table1910[Gender],"M")+COUNTIFS(Table19[Community Clubs],"&gt;0",Table19[Gender],"M")</f>
        <v>1</v>
      </c>
      <c r="L9" s="77">
        <f>Table2[[#This Row],[Community Club]]/(COUNTIF(Table1910[Gender],"M")+COUNTIF(Table19[Gender],"M"))</f>
        <v>0.2</v>
      </c>
      <c r="M9" s="68">
        <f>COUNTIFS(Table1910[Active Opportunity],"&gt;0",Table1910[Gender],"M")+COUNTIFS(Table19[Active Opportunity],"&gt;0",Table19[Gender],"M")</f>
        <v>4</v>
      </c>
      <c r="N9" s="77">
        <f>Table2[[#This Row],[Active Opportunity]]/(COUNTIF(Table1910[Gender],"M")+COUNTIF(Table19[Gender],"M"))</f>
        <v>0.8</v>
      </c>
    </row>
    <row r="10" spans="2:14" x14ac:dyDescent="0.25">
      <c r="B10" s="69" t="s">
        <v>298</v>
      </c>
      <c r="C10" s="68">
        <f>COUNTIFS(Table1910[Total Challenges],"&gt;0",Table1910[Gender],"F")+COUNTIFS(Table19[Total Challenges],"&gt;0",Table19[Gender],"F")</f>
        <v>5</v>
      </c>
      <c r="D10" s="77">
        <f>Table2[[#This Row],[Personal Challenge / Virtual Competition]]/(COUNTIF(Table1910[Gender],"F")+COUNTIF(Table19[Gender],"F"))</f>
        <v>1</v>
      </c>
      <c r="E10" s="68">
        <f>COUNTIFS(Table1910[Total Ex-C Clubs],"&gt;0",Table1910[Gender],"F")+COUNTIFS(Table19[Total Ex-C Clubs],"&gt;0",Table19[Gender],"F")</f>
        <v>3</v>
      </c>
      <c r="F10" s="77">
        <f>Table2[[#This Row],[Extra-Curricular Club]]/(COUNTIF(Table1910[Gender],"F")+COUNTIF(Table19[Gender],"F"))</f>
        <v>0.6</v>
      </c>
      <c r="G10" s="68">
        <f>COUNTIFS(Table1910[Total Intra-School Sports],"&gt;0",Table1910[Gender],"F")+COUNTIFS(Table19[Total Intra-School Sports],"&gt;0",Table19[Gender],"F")</f>
        <v>2</v>
      </c>
      <c r="H10" s="77">
        <f>Table2[[#This Row],[Intra-School Comp]]/(COUNTIF(Table1910[Gender],"F")+COUNTIF(Table19[Gender],"F"))</f>
        <v>0.4</v>
      </c>
      <c r="I10" s="68">
        <f>COUNTIFS(Table1910[Total Inter-School Sports],"&gt;0",Table1910[Gender],"F")+COUNTIFS(Table19[Total Inter-School Sports],"&gt;0",Table19[Gender],"F")</f>
        <v>4</v>
      </c>
      <c r="J10" s="77">
        <f>Table2[[#This Row],[Inter-School Comp]]/(COUNTIF(Table1910[Gender],"F")+COUNTIF(Table19[Gender],"F"))</f>
        <v>0.8</v>
      </c>
      <c r="K10" s="68">
        <f>COUNTIFS(Table1910[Community Clubs],"&gt;0",Table1910[Gender],"F")+COUNTIFS(Table19[Community Clubs],"&gt;0",Table19[Gender],"F")</f>
        <v>0</v>
      </c>
      <c r="L10" s="77">
        <f>Table2[[#This Row],[Community Club]]/(COUNTIF(Table1910[Gender],"F")+COUNTIF(Table19[Gender],"F"))</f>
        <v>0</v>
      </c>
      <c r="M10" s="68">
        <f>COUNTIFS(Table1910[Active Opportunity],"&gt;0",Table1910[Gender],"F")+COUNTIFS(Table19[Active Opportunity],"&gt;0",Table19[Gender],"F")</f>
        <v>5</v>
      </c>
      <c r="N10" s="77">
        <f>Table2[[#This Row],[Active Opportunity]]/(COUNTIF(Table1910[Gender],"F")+COUNTIF(Table19[Gender],"F"))</f>
        <v>1</v>
      </c>
    </row>
    <row r="11" spans="2:14" x14ac:dyDescent="0.25">
      <c r="B11" s="69" t="s">
        <v>305</v>
      </c>
      <c r="C11" s="68">
        <f>COUNTIFS(Table1910[Total Challenges],"&gt;0",Table1910[FSM / PP],"1")+COUNTIFS(Table19[Total Challenges],"&gt;0",Table19[FSM / PP],"1")</f>
        <v>6</v>
      </c>
      <c r="D11" s="77">
        <f>Table2[[#This Row],[Personal Challenge / Virtual Competition]]/(COUNTIF(Table1910[FSM / PP],"1")+COUNTIF(Table19[FSM / PP],"1"))</f>
        <v>1</v>
      </c>
      <c r="E11" s="68">
        <f>COUNTIFS(Table1910[Total Ex-C Clubs],"&gt;0",Table1910[FSM / PP],"1")+COUNTIFS(Table19[Total Ex-C Clubs],"&gt;0",Table19[FSM / PP],"1")</f>
        <v>5</v>
      </c>
      <c r="F11" s="77">
        <f>Table2[[#This Row],[Extra-Curricular Club]]/(COUNTIF(Table1910[FSM / PP],"1")+COUNTIF(Table19[FSM / PP],"1"))</f>
        <v>0.83333333333333337</v>
      </c>
      <c r="G11" s="68">
        <f>COUNTIFS(Table1910[Total Intra-School Sports],"&gt;0",Table1910[FSM / PP],"1")+COUNTIFS(Table19[Total Intra-School Sports],"&gt;0",Table19[FSM / PP],"1")</f>
        <v>3</v>
      </c>
      <c r="H11" s="77">
        <f>Table2[[#This Row],[Intra-School Comp]]/(COUNTIF(Table1910[FSM / PP],"1")+COUNTIF(Table19[FSM / PP],"1"))</f>
        <v>0.5</v>
      </c>
      <c r="I11" s="68">
        <f>COUNTIFS(Table1910[Total Inter-School Sports],"&gt;0",Table1910[FSM / PP],"1")+COUNTIFS(Table19[Total Inter-School Sports],"&gt;0",Table19[FSM / PP],"1")</f>
        <v>6</v>
      </c>
      <c r="J11" s="77">
        <f>Table2[[#This Row],[Inter-School Comp]]/(COUNTIF(Table1910[FSM / PP],"1")+COUNTIF(Table19[FSM / PP],"1"))</f>
        <v>1</v>
      </c>
      <c r="K11" s="68">
        <f>COUNTIFS(Table1910[Community Clubs],"&gt;0",Table1910[FSM / PP],"1")+COUNTIFS(Table19[Community Clubs],"&gt;0",Table19[FSM / PP],"1")</f>
        <v>1</v>
      </c>
      <c r="L11" s="77">
        <f>Table2[[#This Row],[Community Club]]/(COUNTIF(Table1910[FSM / PP],"1")+COUNTIF(Table19[FSM / PP],"1"))</f>
        <v>0.16666666666666666</v>
      </c>
      <c r="M11" s="68">
        <f>COUNTIFS(Table1910[Active Opportunity],"&gt;0",Table1910[FSM / PP],"1")+COUNTIFS(Table19[Active Opportunity],"&gt;0",Table19[FSM / PP],"1")</f>
        <v>6</v>
      </c>
      <c r="N11" s="77">
        <f>Table2[[#This Row],[Active Opportunity]]/(COUNTIF(Table1910[FSM / PP],"1")+COUNTIF(Table19[FSM / PP],"1"))</f>
        <v>1</v>
      </c>
    </row>
    <row r="12" spans="2:14" x14ac:dyDescent="0.25">
      <c r="B12" s="68" t="s">
        <v>332</v>
      </c>
      <c r="C12" s="68">
        <f>COUNTIFS(Table1910[Total Challenges],"&gt;0",Table1910[Ethnically Diverse],"1")+COUNTIFS(Table19[Total Challenges],"&gt;0",Table19[Ethnically Diverse],"1")</f>
        <v>2</v>
      </c>
      <c r="D12" s="77">
        <f>Table2[[#This Row],[Personal Challenge / Virtual Competition]]/(COUNTIF(Table1910[Ethnically Diverse],"1")+COUNTIF(Table19[Ethnically Diverse],"1"))</f>
        <v>1</v>
      </c>
      <c r="E12" s="68">
        <f>COUNTIFS(Table1910[Total Ex-C Clubs],"&gt;0",Table1910[Ethnically Diverse],"1")+COUNTIFS(Table19[Total Ex-C Clubs],"&gt;0",Table19[Ethnically Diverse],"1")</f>
        <v>1</v>
      </c>
      <c r="F12" s="77">
        <f>Table2[[#This Row],[Extra-Curricular Club]]/(COUNTIF(Table1910[Ethnically Diverse],"1")+COUNTIF(Table19[Ethnically Diverse],"1"))</f>
        <v>0.5</v>
      </c>
      <c r="G12" s="68">
        <f>COUNTIFS(Table1910[Total Intra-School Sports],"&gt;0",Table1910[Ethnically Diverse],"1")+COUNTIFS(Table19[Total Intra-School Sports],"&gt;0",Table19[Ethnically Diverse],"1")</f>
        <v>0</v>
      </c>
      <c r="H12" s="77">
        <f>Table2[[#This Row],[Intra-School Comp]]/(COUNTIF(Table1910[Ethnically Diverse],"1")+COUNTIF(Table19[Ethnically Diverse],"1"))</f>
        <v>0</v>
      </c>
      <c r="I12" s="68">
        <f>COUNTIFS(Table1910[Total Inter-School Sports],"&gt;0",Table1910[Ethnically Diverse],"1")+COUNTIFS(Table19[Total Inter-School Sports],"&gt;0",Table19[Ethnically Diverse],"1")</f>
        <v>1</v>
      </c>
      <c r="J12" s="77">
        <f>Table2[[#This Row],[Inter-School Comp]]/(COUNTIF(Table1910[Ethnically Diverse],"1")+COUNTIF(Table19[Ethnically Diverse],"1"))</f>
        <v>0.5</v>
      </c>
      <c r="K12" s="68">
        <f>COUNTIFS(Table1910[Community Clubs],"&gt;0",Table1910[Ethnically Diverse],"1")+COUNTIFS(Table19[Community Clubs],"&gt;0",Table19[Ethnically Diverse],"1")</f>
        <v>0</v>
      </c>
      <c r="L12" s="77">
        <f>Table2[[#This Row],[Community Club]]/(COUNTIF(Table1910[Ethnically Diverse],"1")+COUNTIF(Table19[Ethnically Diverse],"1"))</f>
        <v>0</v>
      </c>
      <c r="M12" s="68">
        <f>COUNTIFS(Table1910[Active Opportunity],"&gt;0",Table1910[Ethnically Diverse],"1")+COUNTIFS(Table19[Active Opportunity],"&gt;0",Table19[Ethnically Diverse],"1")</f>
        <v>2</v>
      </c>
      <c r="N12" s="77">
        <f>Table2[[#This Row],[Active Opportunity]]/(COUNTIF(Table1910[Ethnically Diverse],"1")+COUNTIF(Table19[Ethnically Diverse],"1"))</f>
        <v>1</v>
      </c>
    </row>
    <row r="13" spans="2:14" x14ac:dyDescent="0.25">
      <c r="B13" s="68" t="s">
        <v>42</v>
      </c>
      <c r="C13" s="68">
        <f>COUNTIFS(Table1910[Total Challenges],"&gt;0",Table1910[EAL],"1")+COUNTIFS(Table19[Total Challenges],"&gt;0",Table19[EAL],"1")</f>
        <v>4</v>
      </c>
      <c r="D13" s="77">
        <f>Table2[[#This Row],[Personal Challenge / Virtual Competition]]/(COUNTIF(Table1910[EAL],"1")+COUNTIF(Table19[EAL],"1"))</f>
        <v>1</v>
      </c>
      <c r="E13" s="68">
        <f>COUNTIFS(Table1910[Total Ex-C Clubs],"&gt;0",Table1910[EAL],"1")+COUNTIFS(Table19[Total Ex-C Clubs],"&gt;0",Table19[EAL],"1")</f>
        <v>2</v>
      </c>
      <c r="F13" s="77">
        <f>Table2[[#This Row],[Extra-Curricular Club]]/(COUNTIF(Table1910[EAL],"1")+COUNTIF(Table19[EAL],"1"))</f>
        <v>0.5</v>
      </c>
      <c r="G13" s="68">
        <f>COUNTIFS(Table1910[Total Intra-School Sports],"&gt;0",Table1910[EAL],"1")+COUNTIFS(Table19[Total Intra-School Sports],"&gt;0",Table19[EAL],"1")</f>
        <v>1</v>
      </c>
      <c r="H13" s="77">
        <f>Table2[[#This Row],[Intra-School Comp]]/(COUNTIF(Table1910[EAL],"1")+COUNTIF(Table19[EAL],"1"))</f>
        <v>0.25</v>
      </c>
      <c r="I13" s="68">
        <f>COUNTIFS(Table1910[Total Inter-School Sports],"&gt;0",Table1910[EAL],"1")+COUNTIFS(Table19[Total Inter-School Sports],"&gt;0",Table19[EAL],"1")</f>
        <v>2</v>
      </c>
      <c r="J13" s="77">
        <f>Table2[[#This Row],[Inter-School Comp]]/(COUNTIF(Table1910[EAL],"1")+COUNTIF(Table19[EAL],"1"))</f>
        <v>0.5</v>
      </c>
      <c r="K13" s="68">
        <f>COUNTIFS(Table1910[Community Clubs],"&gt;0",Table1910[EAL],"1")+COUNTIFS(Table19[Community Clubs],"&gt;0",Table19[EAL],"1")</f>
        <v>1</v>
      </c>
      <c r="L13" s="77">
        <f>Table2[[#This Row],[Community Club]]/(COUNTIF(Table1910[EAL],"1")+COUNTIF(Table19[EAL],"1"))</f>
        <v>0.25</v>
      </c>
      <c r="M13" s="68">
        <f>COUNTIFS(Table1910[Active Opportunity],"&gt;0",Table1910[EAL],"1")+COUNTIFS(Table19[Active Opportunity],"&gt;0",Table19[EAL],"1")</f>
        <v>4</v>
      </c>
      <c r="N13" s="77">
        <f>Table2[[#This Row],[Active Opportunity]]/(COUNTIF(Table1910[EAL],"1")+COUNTIF(Table19[EAL],"1"))</f>
        <v>1</v>
      </c>
    </row>
    <row r="14" spans="2:14" x14ac:dyDescent="0.25">
      <c r="B14" s="68" t="s">
        <v>43</v>
      </c>
      <c r="C14" s="68">
        <f>COUNTIFS(Table1910[Total Challenges],"&gt;0",Table1910[SEN],"1")+COUNTIFS(Table19[Total Challenges],"&gt;0",Table19[SEN],"1")</f>
        <v>4</v>
      </c>
      <c r="D14" s="77">
        <f>Table2[[#This Row],[Personal Challenge / Virtual Competition]]/(COUNTIF(Table1910[SEN],"1")+COUNTIF(Table19[SEN],"1"))</f>
        <v>1</v>
      </c>
      <c r="E14" s="68">
        <f>COUNTIFS(Table1910[Total Ex-C Clubs],"&gt;0",Table1910[SEN],"1")+COUNTIFS(Table19[Total Ex-C Clubs],"&gt;0",Table19[SEN],"1")</f>
        <v>1</v>
      </c>
      <c r="F14" s="77">
        <f>Table2[[#This Row],[Extra-Curricular Club]]/(COUNTIF(Table1910[SEN],"1")+COUNTIF(Table19[SEN],"1"))</f>
        <v>0.25</v>
      </c>
      <c r="G14" s="68">
        <f>COUNTIFS(Table1910[Total Intra-School Sports],"&gt;0",Table1910[SEN],"1")+COUNTIFS(Table19[Total Intra-School Sports],"&gt;0",Table19[SEN],"1")</f>
        <v>0</v>
      </c>
      <c r="H14" s="77">
        <f>Table2[[#This Row],[Intra-School Comp]]/(COUNTIF(Table1910[SEN],"1")+COUNTIF(Table19[SEN],"1"))</f>
        <v>0</v>
      </c>
      <c r="I14" s="68">
        <f>COUNTIFS(Table1910[Total Inter-School Sports],"&gt;0",Table1910[SEN],"1")+COUNTIFS(Table19[Total Inter-School Sports],"&gt;0",Table19[SEN],"1")</f>
        <v>1</v>
      </c>
      <c r="J14" s="77">
        <f>Table2[[#This Row],[Inter-School Comp]]/(COUNTIF(Table1910[SEN],"1")+COUNTIF(Table19[SEN],"1"))</f>
        <v>0.25</v>
      </c>
      <c r="K14" s="68">
        <f>COUNTIFS(Table1910[Community Clubs],"&gt;0",Table1910[SEN],"1")+COUNTIFS(Table19[Community Clubs],"&gt;0",Table19[SEN],"1")</f>
        <v>0</v>
      </c>
      <c r="L14" s="77">
        <f>Table2[[#This Row],[Community Club]]/(COUNTIF(Table1910[SEN],"1")+COUNTIF(Table19[SEN],"1"))</f>
        <v>0</v>
      </c>
      <c r="M14" s="68">
        <f>COUNTIFS(Table1910[Active Opportunity],"&gt;0",Table1910[SEN],"1")+COUNTIFS(Table19[Active Opportunity],"&gt;0",Table19[SEN],"1")</f>
        <v>4</v>
      </c>
      <c r="N14" s="77">
        <f>Table2[[#This Row],[Active Opportunity]]/(COUNTIF(Table1910[SEN],"1")+COUNTIF(Table19[SEN],"1"))</f>
        <v>1</v>
      </c>
    </row>
    <row r="15" spans="2:14" x14ac:dyDescent="0.25">
      <c r="B15" s="68" t="s">
        <v>44</v>
      </c>
      <c r="C15" s="68">
        <f>COUNTIFS(Table1910[Total Challenges],"&gt;0",Table1910[Young Leader],"1")+COUNTIFS(Table19[Total Challenges],"&gt;0",Table19[Young Leader],"1")</f>
        <v>2</v>
      </c>
      <c r="D15" s="77">
        <f>Table2[[#This Row],[Personal Challenge / Virtual Competition]]/(COUNTIF(Table1910[Young Leader],"1")+COUNTIF(Table19[Young Leader],"1"))</f>
        <v>1</v>
      </c>
      <c r="E15" s="68">
        <f>COUNTIFS(Table1910[Total Ex-C Clubs],"&gt;0",Table1910[Young Leader],"1")+COUNTIFS(Table19[Total Ex-C Clubs],"&gt;0",Table19[Young Leader],"1")</f>
        <v>2</v>
      </c>
      <c r="F15" s="77">
        <f>Table2[[#This Row],[Extra-Curricular Club]]/(COUNTIF(Table1910[Young Leader],"1")+COUNTIF(Table19[Young Leader],"1"))</f>
        <v>1</v>
      </c>
      <c r="G15" s="68">
        <f>COUNTIFS(Table1910[Total Intra-School Sports],"&gt;0",Table1910[Young Leader],"1")+COUNTIFS(Table19[Total Intra-School Sports],"&gt;0",Table19[Young Leader],"1")</f>
        <v>1</v>
      </c>
      <c r="H15" s="77">
        <f>Table2[[#This Row],[Intra-School Comp]]/(COUNTIF(Table1910[Young Leader],"1")+COUNTIF(Table19[Young Leader],"1"))</f>
        <v>0.5</v>
      </c>
      <c r="I15" s="68">
        <f>COUNTIFS(Table1910[Total Inter-School Sports],"&gt;0",Table1910[Young Leader],"1")+COUNTIFS(Table19[Total Inter-School Sports],"&gt;0",Table19[Young Leader],"1")</f>
        <v>2</v>
      </c>
      <c r="J15" s="77">
        <f>Table2[[#This Row],[Inter-School Comp]]/(COUNTIF(Table1910[Young Leader],"1")+COUNTIF(Table19[Young Leader],"1"))</f>
        <v>1</v>
      </c>
      <c r="K15" s="68">
        <f>COUNTIFS(Table1910[Community Clubs],"&gt;0",Table1910[Young Leader],"1")+COUNTIFS(Table19[Community Clubs],"&gt;0",Table19[Young Leader],"1")</f>
        <v>1</v>
      </c>
      <c r="L15" s="77">
        <f>Table2[[#This Row],[Community Club]]/(COUNTIF(Table1910[Young Leader],"1")+COUNTIF(Table19[Young Leader],"1"))</f>
        <v>0.5</v>
      </c>
      <c r="M15" s="68">
        <f>COUNTIFS(Table1910[Active Opportunity],"&gt;0",Table1910[Young Leader],"1")+COUNTIFS(Table19[Active Opportunity],"&gt;0",Table19[Young Leader],"1")</f>
        <v>2</v>
      </c>
      <c r="N15" s="77">
        <f>Table2[[#This Row],[Active Opportunity]]/(COUNTIF(Table1910[Young Leader],"1")+COUNTIF(Table19[Young Leader],"1"))</f>
        <v>1</v>
      </c>
    </row>
    <row r="16" spans="2:14" x14ac:dyDescent="0.25">
      <c r="B16" s="68" t="s">
        <v>74</v>
      </c>
      <c r="C16" s="68">
        <f>COUNTIFS(Table1910[Total Challenges],"&gt;0",Table1910[Least active],"1")+COUNTIFS(Table19[Total Challenges],"&gt;0",Table19[Least active],"1")</f>
        <v>1</v>
      </c>
      <c r="D16" s="77">
        <f>Table2[[#This Row],[Personal Challenge / Virtual Competition]]/(COUNTIF(Table1910[Least active],"1")+COUNTIF(Table19[Least active],"1"))</f>
        <v>0.5</v>
      </c>
      <c r="E16" s="68">
        <f>COUNTIFS(Table1910[Total Ex-C Clubs],"&gt;0",Table1910[Least active],"1")+COUNTIFS(Table19[Total Ex-C Clubs],"&gt;0",Table19[Least active],"1")</f>
        <v>1</v>
      </c>
      <c r="F16" s="77">
        <f>Table2[[#This Row],[Extra-Curricular Club]]/(COUNTIF(Table1910[Least active],"1")+COUNTIF(Table19[Least active],"1"))</f>
        <v>0.5</v>
      </c>
      <c r="G16" s="68">
        <f>COUNTIFS(Table1910[Total Intra-School Sports],"&gt;0",Table1910[Least active],"1")+COUNTIFS(Table19[Total Intra-School Sports],"&gt;0",Table19[Least active],"1")</f>
        <v>1</v>
      </c>
      <c r="H16" s="77">
        <f>Table2[[#This Row],[Intra-School Comp]]/(COUNTIF(Table1910[Least active],"1")+COUNTIF(Table19[Least active],"1"))</f>
        <v>0.5</v>
      </c>
      <c r="I16" s="68">
        <f>COUNTIFS(Table1910[Total Inter-School Sports],"&gt;0",Table1910[Least active],"1")+COUNTIFS(Table19[Total Inter-School Sports],"&gt;0",Table19[Least active],"1")</f>
        <v>1</v>
      </c>
      <c r="J16" s="77">
        <f>Table2[[#This Row],[Inter-School Comp]]/(COUNTIF(Table1910[Least active],"1")+COUNTIF(Table19[Least active],"1"))</f>
        <v>0.5</v>
      </c>
      <c r="K16" s="68">
        <f>COUNTIFS(Table1910[Community Clubs],"&gt;0",Table1910[Least active],"1")+COUNTIFS(Table19[Community Clubs],"&gt;0",Table19[Least active],"1")</f>
        <v>1</v>
      </c>
      <c r="L16" s="77">
        <f>Table2[[#This Row],[Community Club]]/(COUNTIF(Table1910[Least active],"1")+COUNTIF(Table19[Least active],"1"))</f>
        <v>0.5</v>
      </c>
      <c r="M16" s="68">
        <f>COUNTIFS(Table1910[Active Opportunity],"&gt;0",Table1910[Least active],"1")+COUNTIFS(Table19[Active Opportunity],"&gt;0",Table19[Least active],"1")</f>
        <v>1</v>
      </c>
      <c r="N16" s="77">
        <f>Table2[[#This Row],[Active Opportunity]]/(COUNTIF(Table1910[Least active],"1")+COUNTIF(Table19[Least active],"1"))</f>
        <v>0.5</v>
      </c>
    </row>
    <row r="17" spans="2:14" x14ac:dyDescent="0.25">
      <c r="B17" s="78" t="s">
        <v>312</v>
      </c>
      <c r="C17" s="79">
        <f>COUNTIF(Table1910[Total Challenges],"&gt;0")+COUNTIF(Table19[Total Challenges],"&gt;0")</f>
        <v>9</v>
      </c>
      <c r="D17" s="80">
        <f>Table2[[#This Row],[Personal Challenge / Virtual Competition]]/C5</f>
        <v>3.5999999999999997E-2</v>
      </c>
      <c r="E17" s="79">
        <f>COUNTIF(Table1910[Total Ex-C Clubs],"&gt;0")+COUNTIF(Table19[Total Ex-C Clubs],"&gt;0")</f>
        <v>5</v>
      </c>
      <c r="F17" s="80">
        <f>Table2[[#This Row],[Extra-Curricular Club]]/C5</f>
        <v>0.02</v>
      </c>
      <c r="G17" s="79">
        <f>COUNTIF(Table1910[Total Intra-School Sports],"&gt;0")+COUNTIF(Table19[Total Intra-School Sports],"&gt;0")</f>
        <v>3</v>
      </c>
      <c r="H17" s="80">
        <f>Table2[[#This Row],[Intra-School Comp]]/C5</f>
        <v>1.2E-2</v>
      </c>
      <c r="I17" s="79">
        <f>COUNTIF(Table1910[Total Inter-School Sports],"&gt;0")+COUNTIF(Table19[Total Inter-School Sports],"&gt;0")</f>
        <v>6</v>
      </c>
      <c r="J17" s="80">
        <f>Table2[[#This Row],[Inter-School Comp]]/C5</f>
        <v>2.4E-2</v>
      </c>
      <c r="K17" s="79">
        <f>COUNTIF(Table1910[Community Clubs],"&gt;0")+COUNTIF(Table19[Community Clubs],"&gt;0")</f>
        <v>1</v>
      </c>
      <c r="L17" s="80">
        <f>Table2[[#This Row],[Community Club]]/C5</f>
        <v>4.0000000000000001E-3</v>
      </c>
      <c r="M17" s="68">
        <f>COUNTIF(Table1910[Active Opportunity],"&gt;0")+COUNTIFS(Table19[Active Opportunity],"&gt;0")</f>
        <v>9</v>
      </c>
      <c r="N17" s="83">
        <f>Table2[[#This Row],[Active Opportunity]]/C5</f>
        <v>3.5999999999999997E-2</v>
      </c>
    </row>
    <row r="18" spans="2:14" x14ac:dyDescent="0.25">
      <c r="B18" s="67"/>
      <c r="C18" s="67"/>
      <c r="D18" s="67"/>
      <c r="E18" s="67"/>
      <c r="F18" s="67"/>
      <c r="G18" s="67"/>
      <c r="H18" s="67"/>
      <c r="I18" s="67"/>
      <c r="J18" s="67"/>
      <c r="K18" s="67"/>
      <c r="L18" s="67"/>
      <c r="M18" s="67"/>
      <c r="N18" s="67"/>
    </row>
    <row r="19" spans="2:14" x14ac:dyDescent="0.25">
      <c r="B19" s="67"/>
      <c r="C19" s="67"/>
      <c r="D19" s="67"/>
      <c r="E19" s="67"/>
      <c r="F19" s="67"/>
      <c r="G19" s="67"/>
      <c r="H19" s="67"/>
      <c r="I19" s="67"/>
      <c r="J19" s="67"/>
      <c r="K19" s="67"/>
      <c r="L19" s="67"/>
      <c r="M19" s="67"/>
      <c r="N19" s="67"/>
    </row>
    <row r="20" spans="2:14" x14ac:dyDescent="0.25">
      <c r="B20" s="76" t="s">
        <v>3</v>
      </c>
      <c r="C20" s="4">
        <v>250</v>
      </c>
      <c r="D20" s="67"/>
      <c r="E20" s="67"/>
      <c r="F20" s="67"/>
      <c r="G20" s="67"/>
      <c r="H20" s="67"/>
      <c r="I20" s="67"/>
      <c r="J20" s="67"/>
      <c r="K20" s="67"/>
      <c r="L20" s="67"/>
      <c r="M20" s="67"/>
      <c r="N20" s="67"/>
    </row>
    <row r="22" spans="2:14" x14ac:dyDescent="0.25">
      <c r="B22" s="143" t="s">
        <v>299</v>
      </c>
      <c r="C22" s="143"/>
      <c r="D22" s="143"/>
      <c r="E22" s="143"/>
      <c r="F22" s="143"/>
      <c r="G22" s="143"/>
      <c r="H22" s="143"/>
      <c r="I22" s="143"/>
      <c r="J22" s="143"/>
      <c r="K22" s="143"/>
      <c r="L22" s="143"/>
      <c r="M22" s="143"/>
      <c r="N22" s="143"/>
    </row>
    <row r="23" spans="2:14" ht="75" x14ac:dyDescent="0.25">
      <c r="B23" s="69" t="s">
        <v>310</v>
      </c>
      <c r="C23" s="84" t="s">
        <v>302</v>
      </c>
      <c r="D23" s="84" t="s">
        <v>308</v>
      </c>
      <c r="E23" s="84" t="s">
        <v>325</v>
      </c>
      <c r="F23" s="84" t="s">
        <v>326</v>
      </c>
      <c r="G23" s="84" t="s">
        <v>327</v>
      </c>
      <c r="H23" s="84" t="s">
        <v>328</v>
      </c>
      <c r="I23" s="84" t="s">
        <v>329</v>
      </c>
      <c r="J23" s="84" t="s">
        <v>330</v>
      </c>
      <c r="K23" s="84" t="s">
        <v>304</v>
      </c>
      <c r="L23" s="84" t="s">
        <v>309</v>
      </c>
      <c r="M23" s="84" t="s">
        <v>322</v>
      </c>
      <c r="N23" s="85" t="s">
        <v>331</v>
      </c>
    </row>
    <row r="24" spans="2:14" x14ac:dyDescent="0.25">
      <c r="B24" s="99" t="s">
        <v>297</v>
      </c>
      <c r="C24" s="94">
        <f>COUNTIFS(Table1[Total Challenges],"&gt;0",Table1[Gender],"M")+COUNTIFS(Table16[Total Challenges],"&gt;0",Table16[Gender],"M")+COUNTIFS(Table167[Total Challenges],"&gt;0",Table167[Gender],"M")+COUNTIFS(Table1678[Total Challenges],"&gt;0",Table1678[Gender],"M")</f>
        <v>2</v>
      </c>
      <c r="D24" s="95">
        <f>Table211[[#This Row],[Personal Challenge / Virtual Competition]]/(COUNTIF(Table1[Gender],"M")+COUNTIF(Table16[Gender],"M")+COUNTIF(Table167[Gender],"M")+COUNTIF(Table1678[Gender],"M"))</f>
        <v>0.2857142857142857</v>
      </c>
      <c r="E24" s="94">
        <f>COUNTIFS(Table1[Total Ex-C Clubs],"&gt;0",Table1[Gender],"M")+COUNTIFS(Table16[Total Ex-C Clubs],"&gt;0",Table16[Gender],"M")+COUNTIFS(Table167[Total Ex-C Clubs],"&gt;0",Table167[Gender],"M")+COUNTIFS(Table1678[Total Ex-C Clubs],"&gt;0",Table1678[Gender],"M")</f>
        <v>4</v>
      </c>
      <c r="F24" s="95">
        <f>Table211[[#This Row],[Extra-Curricular Club]]/(COUNTIF(Table1[Gender],"M")+COUNTIF(Table16[Gender],"M")+COUNTIF(Table167[Gender],"M")+COUNTIF(Table1678[Gender],"M"))</f>
        <v>0.5714285714285714</v>
      </c>
      <c r="G24" s="94">
        <f>COUNTIFS(Table1[Total Intra-School Sports],"&gt;0",Table1[Gender],"M")+COUNTIFS(Table16[Total Intra-School Sports],"&gt;0",Table16[Gender],"M")+COUNTIFS(Table167[Total Intra-School Sports],"&gt;0",Table167[Gender],"M")+COUNTIFS(Table1678[Total Intra-School Sports],"&gt;0",Table1678[Gender],"M")</f>
        <v>0</v>
      </c>
      <c r="H24" s="95">
        <f>Table211[[#This Row],[Intra-School Comp]]/(COUNTIF(Table1[Gender],"M")+COUNTIF(Table16[Gender],"M")+COUNTIF(Table167[Gender],"M")+COUNTIF(Table1678[Gender],"M"))</f>
        <v>0</v>
      </c>
      <c r="I24" s="94">
        <f>COUNTIFS(Table1[Total Inter-School Sports],"&gt;0",Table1[Gender],"M")+COUNTIFS(Table16[Total Inter-School Sports],"&gt;0",Table16[Gender],"M")+COUNTIFS(Table167[Total Inter-School Sports],"&gt;0",Table167[Gender],"M")+COUNTIFS(Table1678[Total Inter-School Sports],"&gt;0",Table1678[Gender],"M")</f>
        <v>1</v>
      </c>
      <c r="J24" s="95">
        <f>Table211[[#This Row],[Inter-School Comp]]/(COUNTIF(Table1[Gender],"M")+COUNTIF(Table16[Gender],"M")+COUNTIF(Table167[Gender],"M")+COUNTIF(Table1678[Gender],"M"))</f>
        <v>0.14285714285714285</v>
      </c>
      <c r="K24" s="94">
        <f>COUNTIFS(Table1[Community Clubs],"&gt;0",Table1[Gender],"M")+COUNTIFS(Table16[Community Clubs],"&gt;0",Table16[Gender],"M")+COUNTIFS(Table167[Community Clubs],"&gt;0",Table167[Gender],"M")+COUNTIFS(Table1678[Community Clubs],"&gt;0",Table1678[Gender],"M")</f>
        <v>0</v>
      </c>
      <c r="L24" s="95">
        <f>Table211[[#This Row],[Community Club]]/(COUNTIF(Table1[Gender],"M")+COUNTIF(Table16[Gender],"M")+COUNTIF(Table167[Gender],"M")+COUNTIF(Table1678[Gender],"M"))</f>
        <v>0</v>
      </c>
      <c r="M24" s="94">
        <f>COUNTIFS(Table1[Active Opportunity],"&gt;0",Table1[Gender],"M")+COUNTIFS(Table16[Active Opportunity],"&gt;0",Table16[Gender],"M")+COUNTIFS(Table167[Active Opportunity],"&gt;0",Table167[Gender],"M")+COUNTIFS(Table1678[Active Opportunity],"&gt;0",Table1678[Gender],"M")</f>
        <v>6</v>
      </c>
      <c r="N24" s="95">
        <f>Table211[[#This Row],[Active Opportunity]]/(COUNTIF(Table1[Gender],"M")+COUNTIF(Table16[Gender],"M")+COUNTIF(Table167[Gender],"M")+COUNTIF(Table1678[Gender],"M"))</f>
        <v>0.8571428571428571</v>
      </c>
    </row>
    <row r="25" spans="2:14" x14ac:dyDescent="0.25">
      <c r="B25" s="99" t="s">
        <v>298</v>
      </c>
      <c r="C25" s="94">
        <f>COUNTIFS(Table1[Total Challenges],"&gt;0",Table1[Gender],"F")+COUNTIFS(Table16[Total Challenges],"&gt;0",Table16[Gender],"F")+COUNTIFS(Table167[Total Challenges],"&gt;0",Table167[Gender],"F")+COUNTIFS(Table1678[Total Challenges],"&gt;0",Table1678[Gender],"F")</f>
        <v>0</v>
      </c>
      <c r="D25" s="95">
        <f>Table211[[#This Row],[Personal Challenge / Virtual Competition]]/(COUNTIF(Table1[Gender],"F")+COUNTIF(Table16[Gender],"F")+COUNTIF(Table167[Gender],"F")+COUNTIF(Table1678[Gender],"F"))</f>
        <v>0</v>
      </c>
      <c r="E25" s="94">
        <f>COUNTIFS(Table1[Total Ex-C Clubs],"&gt;0",Table1[Gender],"F")+COUNTIFS(Table16[Total Ex-C Clubs],"&gt;0",Table16[Gender],"F")+COUNTIFS(Table167[Total Ex-C Clubs],"&gt;0",Table167[Gender],"F")+COUNTIFS(Table1678[Total Ex-C Clubs],"&gt;0",Table1678[Gender],"F")</f>
        <v>1</v>
      </c>
      <c r="F25" s="95">
        <f>Table211[[#This Row],[Extra-Curricular Club]]/(COUNTIF(Table1[Gender],"F")+COUNTIF(Table16[Gender],"F")+COUNTIF(Table167[Gender],"F")+COUNTIF(Table1678[Gender],"F"))</f>
        <v>0.2</v>
      </c>
      <c r="G25" s="94">
        <f>COUNTIFS(Table1[Total Intra-School Sports],"&gt;0",Table1[Gender],"F")+COUNTIFS(Table16[Total Intra-School Sports],"&gt;0",Table16[Gender],"F")+COUNTIFS(Table167[Total Intra-School Sports],"&gt;0",Table167[Gender],"F")+COUNTIFS(Table1678[Total Intra-School Sports],"&gt;0",Table1678[Gender],"F")</f>
        <v>1</v>
      </c>
      <c r="H25" s="95">
        <f>Table211[[#This Row],[Intra-School Comp]]/(COUNTIF(Table1[Gender],"F")+COUNTIF(Table16[Gender],"F")+COUNTIF(Table167[Gender],"F")+COUNTIF(Table1678[Gender],"F"))</f>
        <v>0.2</v>
      </c>
      <c r="I25" s="94">
        <f>COUNTIFS(Table1[Total Inter-School Sports],"&gt;0",Table1[Gender],"F")+COUNTIFS(Table16[Total Inter-School Sports],"&gt;0",Table16[Gender],"F")+COUNTIFS(Table167[Total Inter-School Sports],"&gt;0",Table167[Gender],"F")+COUNTIFS(Table1678[Total Inter-School Sports],"&gt;0",Table1678[Gender],"F")</f>
        <v>0</v>
      </c>
      <c r="J25" s="95">
        <f>Table211[[#This Row],[Inter-School Comp]]/(COUNTIF(Table1[Gender],"F")+COUNTIF(Table16[Gender],"F")+COUNTIF(Table167[Gender],"F")+COUNTIF(Table1678[Gender],"F"))</f>
        <v>0</v>
      </c>
      <c r="K25" s="94">
        <f>COUNTIFS(Table1[Community Clubs],"&gt;0",Table1[Gender],"F")+COUNTIFS(Table16[Community Clubs],"&gt;0",Table16[Gender],"F")+COUNTIFS(Table167[Community Clubs],"&gt;0",Table167[Gender],"F")+COUNTIFS(Table1678[Community Clubs],"&gt;0",Table1678[Gender],"F")</f>
        <v>0</v>
      </c>
      <c r="L25" s="95">
        <f>Table211[[#This Row],[Community Club]]/(COUNTIF(Table1[Gender],"F")+COUNTIF(Table16[Gender],"F")+COUNTIF(Table167[Gender],"F")+COUNTIF(Table1678[Gender],"F"))</f>
        <v>0</v>
      </c>
      <c r="M25" s="94">
        <f>COUNTIFS(Table1[Active Opportunity],"&gt;0",Table1[Gender],"F")+COUNTIFS(Table16[Active Opportunity],"&gt;0",Table16[Gender],"F")+COUNTIFS(Table167[Active Opportunity],"&gt;0",Table167[Gender],"F")+COUNTIFS(Table1678[Active Opportunity],"&gt;0",Table1678[Gender],"F")</f>
        <v>1</v>
      </c>
      <c r="N25" s="95">
        <f>Table211[[#This Row],[Active Opportunity]]/(COUNTIF(Table1[Gender],"F")+COUNTIF(Table16[Gender],"F")+COUNTIF(Table167[Gender],"F")+COUNTIF(Table1678[Gender],"F"))</f>
        <v>0.2</v>
      </c>
    </row>
    <row r="26" spans="2:14" x14ac:dyDescent="0.25">
      <c r="B26" s="99" t="s">
        <v>305</v>
      </c>
      <c r="C26" s="94">
        <f>COUNTIFS(Table1[Total Challenges],"&gt;0",Table1[FSM / PP],"1")+COUNTIFS(Table16[Total Challenges],"&gt;0",Table16[FSM / PP],"1")+COUNTIFS(Table167[Total Challenges],"&gt;0",Table167[FSM / PP],"1")+COUNTIFS(Table1678[Total Challenges],"&gt;0",Table1678[FSM / PP],"1")</f>
        <v>2</v>
      </c>
      <c r="D26" s="95">
        <f>Table211[[#This Row],[Personal Challenge / Virtual Competition]]/(COUNTIF(Table1[FSM / PP],"1")+COUNTIF(Table16[FSM / PP],"1")+COUNTIF(Table167[FSM / PP],"1")+COUNTIF(Table1678[FSM / PP],"1"))</f>
        <v>0.4</v>
      </c>
      <c r="E26" s="94">
        <f>COUNTIFS(Table1[Total Ex-C Clubs],"&gt;0",Table1[FSM / PP],"1")+COUNTIFS(Table16[Total Ex-C Clubs],"&gt;0",Table16[FSM / PP],"1")+COUNTIFS(Table167[Total Ex-C Clubs],"&gt;0",Table167[FSM / PP],"1")+COUNTIFS(Table1678[Total Ex-C Clubs],"&gt;0",Table1678[FSM / PP],"1")</f>
        <v>3</v>
      </c>
      <c r="F26" s="95">
        <f>Table211[[#This Row],[Extra-Curricular Club]]/(COUNTIF(Table1[FSM / PP],"1")+COUNTIF(Table16[FSM / PP],"1")+COUNTIF(Table167[FSM / PP],"1")+COUNTIF(Table1678[FSM / PP],"1"))</f>
        <v>0.6</v>
      </c>
      <c r="G26" s="94">
        <f>COUNTIFS(Table1[Total Intra-School Sports],"&gt;0",Table1[FSM / PP],"1")+COUNTIFS(Table16[Total Intra-School Sports],"&gt;0",Table16[FSM / PP],"1")+COUNTIFS(Table167[Total Intra-School Sports],"&gt;0",Table167[FSM / PP],"1")+COUNTIFS(Table1678[Total Intra-School Sports],"&gt;0",Table1678[FSM / PP],"1")</f>
        <v>1</v>
      </c>
      <c r="H26" s="95">
        <f>Table211[[#This Row],[Intra-School Comp]]/(COUNTIF(Table1[FSM / PP],"1")+COUNTIF(Table16[FSM / PP],"1")+COUNTIF(Table167[FSM / PP],"1")+COUNTIF(Table1678[FSM / PP],"1"))</f>
        <v>0.2</v>
      </c>
      <c r="I26" s="94">
        <f>COUNTIFS(Table1[Total Inter-School Sports],"&gt;0",Table1[FSM / PP],"1")+COUNTIFS(Table16[Total Inter-School Sports],"&gt;0",Table16[FSM / PP],"1")+COUNTIFS(Table167[Total Inter-School Sports],"&gt;0",Table167[FSM / PP],"1")+COUNTIFS(Table1678[Total Inter-School Sports],"&gt;0",Table1678[FSM / PP],"1")</f>
        <v>1</v>
      </c>
      <c r="J26" s="95">
        <f>Table211[[#This Row],[Inter-School Comp]]/(COUNTIF(Table1[FSM / PP],"1")+COUNTIF(Table16[FSM / PP],"1")+COUNTIF(Table167[FSM / PP],"1")+COUNTIF(Table1678[FSM / PP],"1"))</f>
        <v>0.2</v>
      </c>
      <c r="K26" s="94">
        <f>COUNTIFS(Table1[Community Clubs],"&gt;0",Table1[FSM / PP],"1")+COUNTIFS(Table16[Community Clubs],"&gt;0",Table16[FSM / PP],"1")+COUNTIFS(Table167[Community Clubs],"&gt;0",Table167[FSM / PP],"1")+COUNTIFS(Table1678[Community Clubs],"&gt;0",Table1678[FSM / PP],"1")</f>
        <v>0</v>
      </c>
      <c r="L26" s="95">
        <f>Table211[[#This Row],[Community Club]]/(COUNTIF(Table1[FSM / PP],"1")+COUNTIF(Table16[FSM / PP],"1")+COUNTIF(Table167[FSM / PP],"1")+COUNTIF(Table1678[FSM / PP],"1"))</f>
        <v>0</v>
      </c>
      <c r="M26" s="94">
        <f>COUNTIFS(Table1[Active Opportunity],"&gt;0",Table1[FSM / PP],"1")+COUNTIFS(Table16[Active Opportunity],"&gt;0",Table16[FSM / PP],"1")+COUNTIFS(Table167[Active Opportunity],"&gt;0",Table167[FSM / PP],"1")+COUNTIFS(Table1678[Active Opportunity],"&gt;0",Table1678[FSM / PP],"1")</f>
        <v>5</v>
      </c>
      <c r="N26" s="95">
        <f>Table211[[#This Row],[Active Opportunity]]/(COUNTIF(Table1[FSM / PP],"1")+COUNTIF(Table16[FSM / PP],"1")+COUNTIF(Table167[FSM / PP],"1")+COUNTIF(Table1678[FSM / PP],"1"))</f>
        <v>1</v>
      </c>
    </row>
    <row r="27" spans="2:14" x14ac:dyDescent="0.25">
      <c r="B27" s="94" t="s">
        <v>332</v>
      </c>
      <c r="C27" s="94">
        <f>COUNTIFS(Table1[Total Challenges],"&gt;0",Table1[Ethnically Diverse],"1")+COUNTIFS(Table16[Total Challenges],"&gt;0",Table16[Ethnically Diverse],"1")+COUNTIFS(Table167[Total Challenges],"&gt;0",Table167[Ethnically Diverse],"1")+COUNTIFS(Table1678[Total Challenges],"&gt;0",Table1678[Ethnically Diverse],"1")</f>
        <v>1</v>
      </c>
      <c r="D27" s="95">
        <f>Table211[[#This Row],[Personal Challenge / Virtual Competition]]/(COUNTIF(Table1[Ethnically Diverse],"1")+COUNTIF(Table16[Ethnically Diverse],"1")+COUNTIF(Table167[Ethnically Diverse],"1")+COUNTIF(Table1678[Ethnically Diverse],"1"))</f>
        <v>0.5</v>
      </c>
      <c r="E27" s="94">
        <f>COUNTIFS(Table1[Total Ex-C Clubs],"&gt;0",Table1[Ethnically Diverse],"1")+COUNTIFS(Table16[Total Ex-C Clubs],"&gt;0",Table16[Ethnically Diverse],"1")+COUNTIFS(Table167[Total Ex-C Clubs],"&gt;0",Table167[Ethnically Diverse],"1")+COUNTIFS(Table1678[Total Ex-C Clubs],"&gt;0",Table1678[Ethnically Diverse],"1")</f>
        <v>1</v>
      </c>
      <c r="F27" s="95">
        <f>Table211[[#This Row],[Extra-Curricular Club]]/(COUNTIF(Table1[Ethnically Diverse],"1")+COUNTIF(Table16[Ethnically Diverse],"1")+COUNTIF(Table167[Ethnically Diverse],"1")+COUNTIF(Table1678[Ethnically Diverse],"1"))</f>
        <v>0.5</v>
      </c>
      <c r="G27" s="94">
        <f>COUNTIFS(Table1[Total Intra-School Sports],"&gt;0",Table1[Ethnically Diverse],"1")+COUNTIFS(Table16[Total Intra-School Sports],"&gt;0",Table16[Ethnically Diverse],"1")+COUNTIFS(Table167[Total Intra-School Sports],"&gt;0",Table167[Ethnically Diverse],"1")+COUNTIFS(Table1678[Total Intra-School Sports],"&gt;0",Table1678[Ethnically Diverse],"1")</f>
        <v>0</v>
      </c>
      <c r="H27" s="95">
        <f>Table211[[#This Row],[Intra-School Comp]]/(COUNTIF(Table1[Ethnically Diverse],"1")+COUNTIF(Table16[Ethnically Diverse],"1")+COUNTIF(Table167[Ethnically Diverse],"1")+COUNTIF(Table1678[Ethnically Diverse],"1"))</f>
        <v>0</v>
      </c>
      <c r="I27" s="94">
        <f>COUNTIFS(Table1[Total Inter-School Sports],"&gt;0",Table1[Ethnically Diverse],"1")+COUNTIFS(Table16[Total Inter-School Sports],"&gt;0",Table16[Ethnically Diverse],"1")+COUNTIFS(Table167[Total Inter-School Sports],"&gt;0",Table167[Ethnically Diverse],"1")+COUNTIFS(Table1678[Total Inter-School Sports],"&gt;0",Table1678[Ethnically Diverse],"1")</f>
        <v>0</v>
      </c>
      <c r="J27" s="95">
        <f>Table211[[#This Row],[Inter-School Comp]]/(COUNTIF(Table1[Ethnically Diverse],"1")+COUNTIF(Table16[Ethnically Diverse],"1")+COUNTIF(Table167[Ethnically Diverse],"1")+COUNTIF(Table1678[Ethnically Diverse],"1"))</f>
        <v>0</v>
      </c>
      <c r="K27" s="94">
        <f>COUNTIFS(Table1[Community Clubs],"&gt;0",Table1[Ethnically Diverse],"1")+COUNTIFS(Table16[Community Clubs],"&gt;0",Table16[Ethnically Diverse],"1")+COUNTIFS(Table167[Community Clubs],"&gt;0",Table167[Ethnically Diverse],"1")+COUNTIFS(Table1678[Community Clubs],"&gt;0",Table1678[Ethnically Diverse],"1")</f>
        <v>0</v>
      </c>
      <c r="L27" s="95">
        <f>Table211[[#This Row],[Community Club]]/(COUNTIF(Table1[Ethnically Diverse],"1")+COUNTIF(Table16[Ethnically Diverse],"1")+COUNTIF(Table167[Ethnically Diverse],"1")+COUNTIF(Table1678[Ethnically Diverse],"1"))</f>
        <v>0</v>
      </c>
      <c r="M27" s="94">
        <f>COUNTIFS(Table1[Active Opportunity],"&gt;0",Table1[Ethnically Diverse],"1")+COUNTIFS(Table16[Active Opportunity],"&gt;0",Table16[Ethnically Diverse],"1")+COUNTIFS(Table167[Active Opportunity],"&gt;0",Table167[Ethnically Diverse],"1")+COUNTIFS(Table1678[Active Opportunity],"&gt;0",Table1678[Ethnically Diverse],"1")</f>
        <v>2</v>
      </c>
      <c r="N27" s="95">
        <f>Table211[[#This Row],[Active Opportunity]]/(COUNTIF(Table1[Ethnically Diverse],"1")+COUNTIF(Table16[Ethnically Diverse],"1")+COUNTIF(Table167[Ethnically Diverse],"1")+COUNTIF(Table1678[Ethnically Diverse],"1"))</f>
        <v>1</v>
      </c>
    </row>
    <row r="28" spans="2:14" x14ac:dyDescent="0.25">
      <c r="B28" s="94" t="s">
        <v>42</v>
      </c>
      <c r="C28" s="94">
        <f>COUNTIFS(Table1[Total Challenges],"&gt;0",Table1[EAL],"1")+COUNTIFS(Table16[Total Challenges],"&gt;0",Table16[EAL],"1")+COUNTIFS(Table167[Total Challenges],"&gt;0",Table167[EAL],"1")+COUNTIFS(Table1678[Total Challenges],"&gt;0",Table1678[EAL],"1")</f>
        <v>2</v>
      </c>
      <c r="D28" s="95">
        <f>Table211[[#This Row],[Personal Challenge / Virtual Competition]]/(COUNTIF(Table1[EAL],"1")+COUNTIF(Table16[EAL],"1")+COUNTIF(Table167[EAL],"1")+COUNTIF(Table1678[EAL],"1"))</f>
        <v>0.4</v>
      </c>
      <c r="E28" s="94">
        <f>COUNTIFS(Table1[Total Ex-C Clubs],"&gt;0",Table1[EAL],"1")+COUNTIFS(Table16[Total Ex-C Clubs],"&gt;0",Table16[EAL],"1")+COUNTIFS(Table167[Total Ex-C Clubs],"&gt;0",Table167[EAL],"1")+COUNTIFS(Table1678[Total Ex-C Clubs],"&gt;0",Table1678[EAL],"1")</f>
        <v>3</v>
      </c>
      <c r="F28" s="95">
        <f>Table211[[#This Row],[Extra-Curricular Club]]/(COUNTIF(Table1[EAL],"1")+COUNTIF(Table16[EAL],"1")+COUNTIF(Table167[EAL],"1")+COUNTIF(Table1678[EAL],"1"))</f>
        <v>0.6</v>
      </c>
      <c r="G28" s="94">
        <f>COUNTIFS(Table1[Total Intra-School Sports],"&gt;0",Table1[EAL],"1")+COUNTIFS(Table16[Total Intra-School Sports],"&gt;0",Table16[EAL],"1")+COUNTIFS(Table167[Total Intra-School Sports],"&gt;0",Table167[EAL],"1")+COUNTIFS(Table1678[Total Intra-School Sports],"&gt;0",Table1678[EAL],"1")</f>
        <v>1</v>
      </c>
      <c r="H28" s="95">
        <f>Table211[[#This Row],[Intra-School Comp]]/(COUNTIF(Table1[EAL],"1")+COUNTIF(Table16[EAL],"1")+COUNTIF(Table167[EAL],"1")+COUNTIF(Table1678[EAL],"1"))</f>
        <v>0.2</v>
      </c>
      <c r="I28" s="94">
        <f>COUNTIFS(Table1[Total Inter-School Sports],"&gt;0",Table1[EAL],"1")+COUNTIFS(Table16[Total Inter-School Sports],"&gt;0",Table16[EAL],"1")+COUNTIFS(Table167[Total Inter-School Sports],"&gt;0",Table167[EAL],"1")+COUNTIFS(Table1678[Total Inter-School Sports],"&gt;0",Table1678[EAL],"1")</f>
        <v>1</v>
      </c>
      <c r="J28" s="95">
        <f>Table211[[#This Row],[Inter-School Comp]]/(COUNTIF(Table1[EAL],"1")+COUNTIF(Table16[EAL],"1")+COUNTIF(Table167[EAL],"1")+COUNTIF(Table1678[EAL],"1"))</f>
        <v>0.2</v>
      </c>
      <c r="K28" s="94">
        <f>COUNTIFS(Table1[Community Clubs],"&gt;0",Table1[EAL],"1")+COUNTIFS(Table16[Community Clubs],"&gt;0",Table16[EAL],"1")+COUNTIFS(Table167[Community Clubs],"&gt;0",Table167[EAL],"1")+COUNTIFS(Table1678[Community Clubs],"&gt;0",Table1678[EAL],"1")</f>
        <v>0</v>
      </c>
      <c r="L28" s="95">
        <f>Table211[[#This Row],[Community Club]]/(COUNTIF(Table1[EAL],"1")+COUNTIF(Table16[EAL],"1")+COUNTIF(Table167[EAL],"1")+COUNTIF(Table1678[EAL],"1"))</f>
        <v>0</v>
      </c>
      <c r="M28" s="94">
        <f>COUNTIFS(Table1[Active Opportunity],"&gt;0",Table1[EAL],"1")+COUNTIFS(Table16[Active Opportunity],"&gt;0",Table16[EAL],"1")+COUNTIFS(Table167[Active Opportunity],"&gt;0",Table167[EAL],"1")+COUNTIFS(Table1678[Active Opportunity],"&gt;0",Table1678[EAL],"1")</f>
        <v>5</v>
      </c>
      <c r="N28" s="95">
        <f>Table211[[#This Row],[Active Opportunity]]/(COUNTIF(Table1[EAL],"1")+COUNTIF(Table16[EAL],"1")+COUNTIF(Table167[EAL],"1")+COUNTIF(Table1678[EAL],"1"))</f>
        <v>1</v>
      </c>
    </row>
    <row r="29" spans="2:14" x14ac:dyDescent="0.25">
      <c r="B29" s="94" t="s">
        <v>43</v>
      </c>
      <c r="C29" s="94">
        <f>COUNTIFS(Table1[Total Challenges],"&gt;0",Table1[SEN],"1")+COUNTIFS(Table16[Total Challenges],"&gt;0",Table16[SEN],"1")+COUNTIFS(Table167[Total Challenges],"&gt;0",Table167[SEN],"1")+COUNTIFS(Table1678[Total Challenges],"&gt;0",Table1678[SEN],"1")</f>
        <v>0</v>
      </c>
      <c r="D29" s="95">
        <f>Table211[[#This Row],[Personal Challenge / Virtual Competition]]/(COUNTIF(Table1[SEN],"1")+COUNTIF(Table16[SEN],"1")+COUNTIF(Table167[SEN],"1")+COUNTIF(Table1678[SEN],"1"))</f>
        <v>0</v>
      </c>
      <c r="E29" s="94">
        <f>COUNTIFS(Table1[Total Ex-C Clubs],"&gt;0",Table1[SEN],"1")+COUNTIFS(Table16[Total Ex-C Clubs],"&gt;0",Table16[SEN],"1")+COUNTIFS(Table167[Total Ex-C Clubs],"&gt;0",Table167[SEN],"1")+COUNTIFS(Table1678[Total Ex-C Clubs],"&gt;0",Table1678[SEN],"1")</f>
        <v>2</v>
      </c>
      <c r="F29" s="95">
        <f>Table211[[#This Row],[Extra-Curricular Club]]/(COUNTIF(Table1[SEN],"1")+COUNTIF(Table16[SEN],"1")+COUNTIF(Table167[SEN],"1")+COUNTIF(Table1678[SEN],"1"))</f>
        <v>1</v>
      </c>
      <c r="G29" s="94">
        <f>COUNTIFS(Table1[Total Intra-School Sports],"&gt;0",Table1[SEN],"1")+COUNTIFS(Table16[Total Intra-School Sports],"&gt;0",Table16[SEN],"1")+COUNTIFS(Table167[Total Intra-School Sports],"&gt;0",Table167[SEN],"1")+COUNTIFS(Table1678[Total Intra-School Sports],"&gt;0",Table1678[SEN],"1")</f>
        <v>1</v>
      </c>
      <c r="H29" s="95">
        <f>Table211[[#This Row],[Intra-School Comp]]/(COUNTIF(Table1[SEN],"1")+COUNTIF(Table16[SEN],"1")+COUNTIF(Table167[SEN],"1")+COUNTIF(Table1678[SEN],"1"))</f>
        <v>0.5</v>
      </c>
      <c r="I29" s="94">
        <f>COUNTIFS(Table1[Total Inter-School Sports],"&gt;0",Table1[SEN],"1")+COUNTIFS(Table16[Total Inter-School Sports],"&gt;0",Table16[SEN],"1")+COUNTIFS(Table167[Total Inter-School Sports],"&gt;0",Table167[SEN],"1")+COUNTIFS(Table1678[Total Inter-School Sports],"&gt;0",Table1678[SEN],"1")</f>
        <v>0</v>
      </c>
      <c r="J29" s="95">
        <f>Table211[[#This Row],[Inter-School Comp]]/(COUNTIF(Table1[SEN],"1")+COUNTIF(Table16[SEN],"1")+COUNTIF(Table167[SEN],"1")+COUNTIF(Table1678[SEN],"1"))</f>
        <v>0</v>
      </c>
      <c r="K29" s="94">
        <f>COUNTIFS(Table1[Community Clubs],"&gt;0",Table1[SEN],"1")+COUNTIFS(Table16[Community Clubs],"&gt;0",Table16[SEN],"1")+COUNTIFS(Table167[Community Clubs],"&gt;0",Table167[SEN],"1")+COUNTIFS(Table1678[Community Clubs],"&gt;0",Table1678[SEN],"1")</f>
        <v>0</v>
      </c>
      <c r="L29" s="95">
        <f>Table211[[#This Row],[Community Club]]/(COUNTIF(Table1[SEN],"1")+COUNTIF(Table16[SEN],"1")+COUNTIF(Table167[SEN],"1")+COUNTIF(Table1678[SEN],"1"))</f>
        <v>0</v>
      </c>
      <c r="M29" s="94">
        <f>COUNTIFS(Table1[Active Opportunity],"&gt;0",Table1[SEN],"1")+COUNTIFS(Table16[Active Opportunity],"&gt;0",Table16[SEN],"1")+COUNTIFS(Table167[Active Opportunity],"&gt;0",Table167[SEN],"1")+COUNTIFS(Table1678[Active Opportunity],"&gt;0",Table1678[SEN],"1")</f>
        <v>2</v>
      </c>
      <c r="N29" s="95">
        <f>Table211[[#This Row],[Active Opportunity]]/(COUNTIF(Table1[SEN],"1")+COUNTIF(Table16[SEN],"1")+COUNTIF(Table167[SEN],"1")+COUNTIF(Table1678[SEN],"1"))</f>
        <v>1</v>
      </c>
    </row>
    <row r="30" spans="2:14" x14ac:dyDescent="0.25">
      <c r="B30" s="94" t="s">
        <v>44</v>
      </c>
      <c r="C30" s="94">
        <f>COUNTIFS(Table1[Total Challenges],"&gt;0",Table1[Young Leader],"1")+COUNTIFS(Table16[Total Challenges],"&gt;0",Table16[Young Leader],"1")+COUNTIFS(Table167[Total Challenges],"&gt;0",Table167[Young Leader],"1")+COUNTIFS(Table1678[Total Challenges],"&gt;0",Table1678[Young Leader],"1")</f>
        <v>2</v>
      </c>
      <c r="D30" s="95">
        <f>Table211[[#This Row],[Personal Challenge / Virtual Competition]]/(COUNTIF(Table1[Young Leader],"1")+COUNTIF(Table16[Young Leader],"1")+COUNTIF(Table167[Young Leader],"1")+COUNTIF(Table1678[Young Leader],"1"))</f>
        <v>0.5</v>
      </c>
      <c r="E30" s="94">
        <f>COUNTIFS(Table1[Total Ex-C Clubs],"&gt;0",Table1[Young Leader],"1")+COUNTIFS(Table16[Total Ex-C Clubs],"&gt;0",Table16[Young Leader],"1")+COUNTIFS(Table167[Total Ex-C Clubs],"&gt;0",Table167[Young Leader],"1")+COUNTIFS(Table1678[Total Ex-C Clubs],"&gt;0",Table1678[Young Leader],"1")</f>
        <v>2</v>
      </c>
      <c r="F30" s="95">
        <f>Table211[[#This Row],[Extra-Curricular Club]]/(COUNTIF(Table1[Young Leader],"1")+COUNTIF(Table16[Young Leader],"1")+COUNTIF(Table167[Young Leader],"1")+COUNTIF(Table1678[Young Leader],"1"))</f>
        <v>0.5</v>
      </c>
      <c r="G30" s="94">
        <f>COUNTIFS(Table1[Total Intra-School Sports],"&gt;0",Table1[Young Leader],"1")+COUNTIFS(Table16[Total Intra-School Sports],"&gt;0",Table16[Young Leader],"1")+COUNTIFS(Table167[Total Intra-School Sports],"&gt;0",Table167[Young Leader],"1")+COUNTIFS(Table1678[Total Intra-School Sports],"&gt;0",Table1678[Young Leader],"1")</f>
        <v>0</v>
      </c>
      <c r="H30" s="95">
        <f>Table211[[#This Row],[Intra-School Comp]]/(COUNTIF(Table1[Young Leader],"1")+COUNTIF(Table16[Young Leader],"1")+COUNTIF(Table167[Young Leader],"1")+COUNTIF(Table1678[Young Leader],"1"))</f>
        <v>0</v>
      </c>
      <c r="I30" s="94">
        <f>COUNTIFS(Table1[Total Inter-School Sports],"&gt;0",Table1[Young Leader],"1")+COUNTIFS(Table16[Total Inter-School Sports],"&gt;0",Table16[Young Leader],"1")+COUNTIFS(Table167[Total Inter-School Sports],"&gt;0",Table167[Young Leader],"1")+COUNTIFS(Table1678[Total Inter-School Sports],"&gt;0",Table1678[Young Leader],"1")</f>
        <v>1</v>
      </c>
      <c r="J30" s="95">
        <f>Table211[[#This Row],[Inter-School Comp]]/(COUNTIF(Table1[Young Leader],"1")+COUNTIF(Table16[Young Leader],"1")+COUNTIF(Table167[Young Leader],"1")+COUNTIF(Table1678[Young Leader],"1"))</f>
        <v>0.25</v>
      </c>
      <c r="K30" s="94">
        <f>COUNTIFS(Table1[Community Clubs],"&gt;0",Table1[Young Leader],"1")+COUNTIFS(Table16[Community Clubs],"&gt;0",Table16[Young Leader],"1")+COUNTIFS(Table167[Community Clubs],"&gt;0",Table167[Young Leader],"1")+COUNTIFS(Table1678[Community Clubs],"&gt;0",Table1678[Young Leader],"1")</f>
        <v>0</v>
      </c>
      <c r="L30" s="95">
        <f>Table211[[#This Row],[Community Club]]/(COUNTIF(Table1[Young Leader],"1")+COUNTIF(Table16[Young Leader],"1")+COUNTIF(Table167[Young Leader],"1")+COUNTIF(Table1678[Young Leader],"1"))</f>
        <v>0</v>
      </c>
      <c r="M30" s="94">
        <f>COUNTIFS(Table1[Active Opportunity],"&gt;0",Table1[Young Leader],"1")+COUNTIFS(Table16[Active Opportunity],"&gt;0",Table16[Young Leader],"1")+COUNTIFS(Table167[Active Opportunity],"&gt;0",Table167[Young Leader],"1")+COUNTIFS(Table1678[Active Opportunity],"&gt;0",Table1678[Young Leader],"1")</f>
        <v>4</v>
      </c>
      <c r="N30" s="95">
        <f>Table211[[#This Row],[Active Opportunity]]/(COUNTIF(Table1[Young Leader],"1")+COUNTIF(Table16[Young Leader],"1")+COUNTIF(Table167[Young Leader],"1")+COUNTIF(Table1678[Young Leader],"1"))</f>
        <v>1</v>
      </c>
    </row>
    <row r="31" spans="2:14" x14ac:dyDescent="0.25">
      <c r="B31" s="94" t="s">
        <v>74</v>
      </c>
      <c r="C31" s="94">
        <f>COUNTIFS(Table1[Total Challenges],"&gt;0",Table1[Least active],"1")+COUNTIFS(Table16[Total Challenges],"&gt;0",Table16[Least active],"1")+COUNTIFS(Table167[Total Challenges],"&gt;0",Table167[Least active],"1")+COUNTIFS(Table1678[Total Challenges],"&gt;0",Table1678[Least active],"1")</f>
        <v>0</v>
      </c>
      <c r="D31" s="95">
        <f>Table211[[#This Row],[Personal Challenge / Virtual Competition]]/(COUNTIF(Table1[Least active],"1")+COUNTIF(Table16[Least active],"1")+COUNTIF(Table167[Least active],"1")+COUNTIF(Table1678[Least active],"1"))</f>
        <v>0</v>
      </c>
      <c r="E31" s="94">
        <f>COUNTIFS(Table1[Total Ex-C Clubs],"&gt;0",Table1[Least active],"1")+COUNTIFS(Table16[Total Ex-C Clubs],"&gt;0",Table16[Least active],"1")+COUNTIFS(Table167[Total Ex-C Clubs],"&gt;0",Table167[Least active],"1")+COUNTIFS(Table1678[Total Ex-C Clubs],"&gt;0",Table1678[Least active],"1")</f>
        <v>2</v>
      </c>
      <c r="F31" s="95">
        <f>Table211[[#This Row],[Extra-Curricular Club]]/(COUNTIF(Table1[Least active],"1")+COUNTIF(Table16[Least active],"1")+COUNTIF(Table167[Least active],"1")+COUNTIF(Table1678[Least active],"1"))</f>
        <v>1</v>
      </c>
      <c r="G31" s="94">
        <f>COUNTIFS(Table1[Total Intra-School Sports],"&gt;0",Table1[Least active],"1")+COUNTIFS(Table16[Total Intra-School Sports],"&gt;0",Table16[Least active],"1")+COUNTIFS(Table167[Total Intra-School Sports],"&gt;0",Table167[Least active],"1")+COUNTIFS(Table1678[Total Intra-School Sports],"&gt;0",Table1678[Least active],"1")</f>
        <v>1</v>
      </c>
      <c r="H31" s="95">
        <f>Table211[[#This Row],[Intra-School Comp]]/(COUNTIF(Table1[Least active],"1")+COUNTIF(Table16[Least active],"1")+COUNTIF(Table167[Least active],"1")+COUNTIF(Table1678[Least active],"1"))</f>
        <v>0.5</v>
      </c>
      <c r="I31" s="94">
        <f>COUNTIFS(Table1[Total Inter-School Sports],"&gt;0",Table1[Least active],"1")+COUNTIFS(Table16[Total Inter-School Sports],"&gt;0",Table16[Least active],"1")+COUNTIFS(Table167[Total Inter-School Sports],"&gt;0",Table167[Least active],"1")+COUNTIFS(Table1678[Total Inter-School Sports],"&gt;0",Table1678[Least active],"1")</f>
        <v>0</v>
      </c>
      <c r="J31" s="95">
        <f>Table211[[#This Row],[Inter-School Comp]]/(COUNTIF(Table1[Least active],"1")+COUNTIF(Table16[Least active],"1")+COUNTIF(Table167[Least active],"1")+COUNTIF(Table1678[Least active],"1"))</f>
        <v>0</v>
      </c>
      <c r="K31" s="94">
        <f>COUNTIFS(Table1[Community Clubs],"&gt;0",Table1[Least active],"1")+COUNTIFS(Table16[Community Clubs],"&gt;0",Table16[Least active],"1")+COUNTIFS(Table167[Community Clubs],"&gt;0",Table167[Least active],"1")+COUNTIFS(Table1678[Community Clubs],"&gt;0",Table1678[Least active],"1")</f>
        <v>0</v>
      </c>
      <c r="L31" s="95">
        <f>Table211[[#This Row],[Community Club]]/(COUNTIF(Table1[Least active],"1")+COUNTIF(Table16[Least active],"1")+COUNTIF(Table167[Least active],"1")+COUNTIF(Table1678[Least active],"1"))</f>
        <v>0</v>
      </c>
      <c r="M31" s="94">
        <f>COUNTIFS(Table1[Active Opportunity],"&gt;0",Table1[Least active],"1")+COUNTIFS(Table16[Active Opportunity],"&gt;0",Table16[Least active],"1")+COUNTIFS(Table167[Active Opportunity],"&gt;0",Table167[Least active],"1")+COUNTIFS(Table1678[Active Opportunity],"&gt;0",Table1678[Least active],"1")</f>
        <v>2</v>
      </c>
      <c r="N31" s="95">
        <f>Table211[[#This Row],[Active Opportunity]]/(COUNTIF(Table1[Least active],"1")+COUNTIF(Table16[Least active],"1")+COUNTIF(Table167[Least active],"1")+COUNTIF(Table1678[Least active],"1"))</f>
        <v>1</v>
      </c>
    </row>
    <row r="32" spans="2:14" x14ac:dyDescent="0.25">
      <c r="B32" s="100" t="s">
        <v>314</v>
      </c>
      <c r="C32" s="96">
        <f>COUNTIF(Table1[Total Challenges],"&gt;0")+COUNTIF(Table16[Total Challenges],"&gt;0")+COUNTIF(Table167[Total Challenges],"&gt;0")+COUNTIF(Table1678[Total Challenges],"&gt;0")</f>
        <v>2</v>
      </c>
      <c r="D32" s="97">
        <f>Table211[[#This Row],[Personal Challenge / Virtual Competition]]/C20</f>
        <v>8.0000000000000002E-3</v>
      </c>
      <c r="E32" s="96">
        <f>COUNTIF(Table1[Total Ex-C Clubs],"&gt;0")+COUNTIF(Table16[Total Ex-C Clubs],"&gt;0")+COUNTIF(Table167[Total Ex-C Clubs],"&gt;0")+COUNTIF(Table1678[Total Ex-C Clubs],"&gt;0")</f>
        <v>5</v>
      </c>
      <c r="F32" s="97">
        <f>Table211[[#This Row],[Extra-Curricular Club]]/C20</f>
        <v>0.02</v>
      </c>
      <c r="G32" s="96">
        <f>COUNTIF(Table1[Total Intra-School Sports],"&gt;0")+COUNTIF(Table16[Total Intra-School Sports],"&gt;0")+COUNTIF(Table167[Total Intra-School Sports],"&gt;0")+COUNTIF(Table1678[Total Intra-School Sports],"&gt;0")</f>
        <v>1</v>
      </c>
      <c r="H32" s="97">
        <f>Table211[[#This Row],[Intra-School Comp]]/C20</f>
        <v>4.0000000000000001E-3</v>
      </c>
      <c r="I32" s="96">
        <f>COUNTIF(Table1[Total Inter-School Sports],"&gt;0")+COUNTIF(Table16[Total Inter-School Sports],"&gt;0")+COUNTIF(Table167[Total Inter-School Sports],"&gt;0")+COUNTIF(Table1678[Total Inter-School Sports],"&gt;0")</f>
        <v>1</v>
      </c>
      <c r="J32" s="97">
        <f>Table211[[#This Row],[Inter-School Comp]]/C20</f>
        <v>4.0000000000000001E-3</v>
      </c>
      <c r="K32" s="96">
        <f>COUNTIF(Table1[Community Clubs],"&gt;0")+COUNTIF(Table16[Community Clubs],"&gt;0")+COUNTIFS(Table167[Community Clubs],"&gt;0",Table167[Least active],"1")+COUNTIFS(Table1678[Community Clubs],"&gt;0",Table1678[Least active],"1")</f>
        <v>0</v>
      </c>
      <c r="L32" s="96">
        <f>Table211[[#This Row],[Community Club]]/C20</f>
        <v>0</v>
      </c>
      <c r="M32" s="94">
        <f>COUNTIF(Table1[Active Opportunity],"&gt;0")+COUNTIFS(Table16[Active Opportunity],"&gt;0")+COUNTIFS(Table167[Active Opportunity],"&gt;0")+COUNTIFS(Table1678[Active Opportunity],"&gt;0")</f>
        <v>7</v>
      </c>
      <c r="N32" s="98">
        <f>Table211[[#This Row],[Active Opportunity]]/C20</f>
        <v>2.8000000000000001E-2</v>
      </c>
    </row>
    <row r="36" spans="2:14" x14ac:dyDescent="0.25">
      <c r="B36" s="143" t="s">
        <v>301</v>
      </c>
      <c r="C36" s="143"/>
      <c r="D36" s="143"/>
      <c r="E36" s="143"/>
      <c r="F36" s="143"/>
      <c r="G36" s="143"/>
      <c r="H36" s="143"/>
      <c r="I36" s="143"/>
      <c r="J36" s="143"/>
      <c r="K36" s="143"/>
      <c r="L36" s="143"/>
      <c r="M36" s="143"/>
      <c r="N36" s="143"/>
    </row>
    <row r="37" spans="2:14" ht="75" x14ac:dyDescent="0.25">
      <c r="B37" s="70" t="s">
        <v>310</v>
      </c>
      <c r="C37" s="71" t="s">
        <v>302</v>
      </c>
      <c r="D37" s="71" t="s">
        <v>308</v>
      </c>
      <c r="E37" s="71" t="s">
        <v>327</v>
      </c>
      <c r="F37" s="71" t="s">
        <v>328</v>
      </c>
      <c r="G37" s="71" t="s">
        <v>329</v>
      </c>
      <c r="H37" s="71" t="s">
        <v>330</v>
      </c>
      <c r="I37" s="71" t="s">
        <v>325</v>
      </c>
      <c r="J37" s="71" t="s">
        <v>326</v>
      </c>
      <c r="K37" s="71" t="s">
        <v>304</v>
      </c>
      <c r="L37" s="71" t="s">
        <v>309</v>
      </c>
      <c r="M37" s="71" t="s">
        <v>322</v>
      </c>
      <c r="N37" s="72" t="s">
        <v>331</v>
      </c>
    </row>
    <row r="38" spans="2:14" x14ac:dyDescent="0.25">
      <c r="B38" s="69" t="s">
        <v>297</v>
      </c>
      <c r="C38" s="68">
        <f t="shared" ref="C38:E45" si="0">C9+C24</f>
        <v>6</v>
      </c>
      <c r="D38" s="77">
        <f>C38/(COUNTIF(Table1910[Gender],"M")+COUNTIF(Table19[Gender],"M")+COUNTIF(Table1[Gender],"M")+COUNTIF(Table16[Gender],"M")+COUNTIF(Table167[Gender],"M")+COUNTIF(Table1678[Gender],"M"))</f>
        <v>0.5</v>
      </c>
      <c r="E38" s="68">
        <f>E9+E24</f>
        <v>6</v>
      </c>
      <c r="F38" s="77">
        <f>E38/(COUNTIF(Table1910[Gender],"M")+COUNTIF(Table19[Gender],"M")+COUNTIF(Table1[Gender],"M")+COUNTIF(Table16[Gender],"M")+COUNTIF(Table167[Gender],"M")+COUNTIF(Table1678[Gender],"M"))</f>
        <v>0.5</v>
      </c>
      <c r="G38" s="68">
        <f>G9+G24</f>
        <v>1</v>
      </c>
      <c r="H38" s="77">
        <f>G38/(COUNTIF(Table1910[Gender],"M")+COUNTIF(Table19[Gender],"M")+COUNTIF(Table1[Gender],"M")+COUNTIF(Table16[Gender],"M")+COUNTIF(Table167[Gender],"M")+COUNTIF(Table1678[Gender],"M"))</f>
        <v>8.3333333333333329E-2</v>
      </c>
      <c r="I38" s="68">
        <f>I9+I24</f>
        <v>3</v>
      </c>
      <c r="J38" s="77">
        <f>I38/(COUNTIF(Table1910[Gender],"M")+COUNTIF(Table19[Gender],"M")+COUNTIF(Table1[Gender],"M")+COUNTIF(Table16[Gender],"M")+COUNTIF(Table167[Gender],"M")+COUNTIF(Table1678[Gender],"M"))</f>
        <v>0.25</v>
      </c>
      <c r="K38" s="68">
        <f>K9+K24</f>
        <v>1</v>
      </c>
      <c r="L38" s="77">
        <f>K38/(COUNTIF(Table1910[Gender],"M")+COUNTIF(Table19[Gender],"M")+COUNTIF(Table1[Gender],"M")+COUNTIF(Table16[Gender],"M")+COUNTIF(Table167[Gender],"M")+COUNTIF(Table1678[Gender],"M"))</f>
        <v>8.3333333333333329E-2</v>
      </c>
      <c r="M38" s="68">
        <f>M9+M24</f>
        <v>10</v>
      </c>
      <c r="N38" s="77">
        <f>M38/(COUNTIF(Table1910[Gender],"M")+COUNTIF(Table19[Gender],"M")+COUNTIF(Table1[Gender],"M")+COUNTIF(Table16[Gender],"M")+COUNTIF(Table167[Gender],"M")+COUNTIF(Table1678[Gender],"M"))</f>
        <v>0.83333333333333337</v>
      </c>
    </row>
    <row r="39" spans="2:14" x14ac:dyDescent="0.25">
      <c r="B39" s="69" t="s">
        <v>298</v>
      </c>
      <c r="C39" s="68">
        <f>C10+C25</f>
        <v>5</v>
      </c>
      <c r="D39" s="77">
        <f>C39/(COUNTIF(Table1910[Gender],"f")+COUNTIF(Table19[Gender],"f")+COUNTIF(Table1[Gender],"f")+COUNTIF(Table16[Gender],"f")+COUNTIF(Table167[Gender],"f")+COUNTIF(Table1678[Gender],"f"))</f>
        <v>0.5</v>
      </c>
      <c r="E39" s="68">
        <f>E10+E25</f>
        <v>4</v>
      </c>
      <c r="F39" s="77">
        <f>E39/(COUNTIF(Table1910[Gender],"f")+COUNTIF(Table19[Gender],"f")+COUNTIF(Table1[Gender],"f")+COUNTIF(Table16[Gender],"f")+COUNTIF(Table167[Gender],"f")+COUNTIF(Table1678[Gender],"f"))</f>
        <v>0.4</v>
      </c>
      <c r="G39" s="68">
        <f>G10+G25</f>
        <v>3</v>
      </c>
      <c r="H39" s="77">
        <f>G39/(COUNTIF(Table1910[Gender],"f")+COUNTIF(Table19[Gender],"f")+COUNTIF(Table1[Gender],"f")+COUNTIF(Table16[Gender],"f")+COUNTIF(Table167[Gender],"f")+COUNTIF(Table1678[Gender],"f"))</f>
        <v>0.3</v>
      </c>
      <c r="I39" s="68">
        <f>I10+I25</f>
        <v>4</v>
      </c>
      <c r="J39" s="77">
        <f>I39/(COUNTIF(Table1910[Gender],"f")+COUNTIF(Table19[Gender],"f")+COUNTIF(Table1[Gender],"f")+COUNTIF(Table16[Gender],"f")+COUNTIF(Table167[Gender],"f")+COUNTIF(Table1678[Gender],"f"))</f>
        <v>0.4</v>
      </c>
      <c r="K39" s="68">
        <f>K10+K25</f>
        <v>0</v>
      </c>
      <c r="L39" s="77">
        <f>K39/(COUNTIF(Table1910[Gender],"f")+COUNTIF(Table19[Gender],"f")+COUNTIF(Table1[Gender],"f")+COUNTIF(Table16[Gender],"f")+COUNTIF(Table167[Gender],"f")+COUNTIF(Table1678[Gender],"f"))</f>
        <v>0</v>
      </c>
      <c r="M39" s="68">
        <f>M10+M25</f>
        <v>6</v>
      </c>
      <c r="N39" s="77">
        <f>M39/(COUNTIF(Table1910[Gender],"f")+COUNTIF(Table19[Gender],"f")+COUNTIF(Table1[Gender],"f")+COUNTIF(Table16[Gender],"f")+COUNTIF(Table167[Gender],"f")+COUNTIF(Table1678[Gender],"f"))</f>
        <v>0.6</v>
      </c>
    </row>
    <row r="40" spans="2:14" x14ac:dyDescent="0.25">
      <c r="B40" s="69" t="s">
        <v>305</v>
      </c>
      <c r="C40" s="68">
        <f t="shared" si="0"/>
        <v>8</v>
      </c>
      <c r="D40" s="77">
        <f>C40/(COUNTIF(Table1[FSM / PP],"1")+COUNTIF(Table1910[FSM / PP],"1")+COUNTIF(Table19[FSM / PP],"1")+COUNTIF(Table16[FSM / PP],"1")+COUNTIF(Table167[FSM / PP],"1")+COUNTIF(Table1678[FSM / PP],"1"))</f>
        <v>0.72727272727272729</v>
      </c>
      <c r="E40" s="68">
        <f t="shared" si="0"/>
        <v>8</v>
      </c>
      <c r="F40" s="77">
        <f>E40/(COUNTIF(Table1[FSM / PP],"1")+COUNTIF(Table1910[FSM / PP],"1")+COUNTIF(Table19[FSM / PP],"1")+COUNTIF(Table16[FSM / PP],"1")+COUNTIF(Table167[FSM / PP],"1")+COUNTIF(Table1678[FSM / PP],"1"))</f>
        <v>0.72727272727272729</v>
      </c>
      <c r="G40" s="68">
        <f t="shared" ref="G40" si="1">G11+G26</f>
        <v>4</v>
      </c>
      <c r="H40" s="77">
        <f>G40/(COUNTIF(Table1[FSM / PP],"1")+COUNTIF(Table1910[FSM / PP],"1")+COUNTIF(Table19[FSM / PP],"1")+COUNTIF(Table16[FSM / PP],"1")+COUNTIF(Table167[FSM / PP],"1")+COUNTIF(Table1678[FSM / PP],"1"))</f>
        <v>0.36363636363636365</v>
      </c>
      <c r="I40" s="68">
        <f t="shared" ref="I40" si="2">I11+I26</f>
        <v>7</v>
      </c>
      <c r="J40" s="77">
        <f>I40/(COUNTIF(Table1[FSM / PP],"1")+COUNTIF(Table1910[FSM / PP],"1")+COUNTIF(Table19[FSM / PP],"1")+COUNTIF(Table16[FSM / PP],"1")+COUNTIF(Table167[FSM / PP],"1")+COUNTIF(Table1678[FSM / PP],"1"))</f>
        <v>0.63636363636363635</v>
      </c>
      <c r="K40" s="68">
        <f t="shared" ref="K40" si="3">K11+K26</f>
        <v>1</v>
      </c>
      <c r="L40" s="77">
        <f>K40/(COUNTIF(Table1[FSM / PP],"1")+COUNTIF(Table1910[FSM / PP],"1")+COUNTIF(Table19[FSM / PP],"1")+COUNTIF(Table16[FSM / PP],"1")+COUNTIF(Table167[FSM / PP],"1")+COUNTIF(Table1678[FSM / PP],"1"))</f>
        <v>9.0909090909090912E-2</v>
      </c>
      <c r="M40" s="68">
        <f t="shared" ref="M40" si="4">M11+M26</f>
        <v>11</v>
      </c>
      <c r="N40" s="77">
        <f>M40/(COUNTIF(Table1[FSM / PP],"1")+COUNTIF(Table1910[FSM / PP],"1")+COUNTIF(Table19[FSM / PP],"1")+COUNTIF(Table16[FSM / PP],"1")+COUNTIF(Table167[FSM / PP],"1")+COUNTIF(Table1678[FSM / PP],"1"))</f>
        <v>1</v>
      </c>
    </row>
    <row r="41" spans="2:14" x14ac:dyDescent="0.25">
      <c r="B41" s="69" t="s">
        <v>332</v>
      </c>
      <c r="C41" s="68">
        <f t="shared" si="0"/>
        <v>3</v>
      </c>
      <c r="D41" s="77">
        <f>C41/(COUNTIF(Table1[Ethnically Diverse],"1")+COUNTIF(Table1910[Ethnically Diverse],"1")+COUNTIF(Table19[Ethnically Diverse],"1")+COUNTIF(Table16[Ethnically Diverse],"1")+COUNTIF(Table167[Ethnically Diverse],"1")+COUNTIF(Table1678[Ethnically Diverse],"1"))</f>
        <v>0.75</v>
      </c>
      <c r="E41" s="68">
        <f t="shared" si="0"/>
        <v>2</v>
      </c>
      <c r="F41" s="77">
        <f>E41/(COUNTIF(Table1[Ethnically Diverse],"1")+COUNTIF(Table1910[Ethnically Diverse],"1")+COUNTIF(Table19[Ethnically Diverse],"1")+COUNTIF(Table16[Ethnically Diverse],"1")+COUNTIF(Table167[Ethnically Diverse],"1")+COUNTIF(Table1678[Ethnically Diverse],"1"))</f>
        <v>0.5</v>
      </c>
      <c r="G41" s="68">
        <f t="shared" ref="G41" si="5">G12+G27</f>
        <v>0</v>
      </c>
      <c r="H41" s="77">
        <f>G41/(COUNTIF(Table1[Ethnically Diverse],"1")+COUNTIF(Table1910[Ethnically Diverse],"1")+COUNTIF(Table19[Ethnically Diverse],"1")+COUNTIF(Table16[Ethnically Diverse],"1")+COUNTIF(Table167[Ethnically Diverse],"1")+COUNTIF(Table1678[Ethnically Diverse],"1"))</f>
        <v>0</v>
      </c>
      <c r="I41" s="68">
        <f t="shared" ref="I41" si="6">I12+I27</f>
        <v>1</v>
      </c>
      <c r="J41" s="77">
        <f>I41/(COUNTIF(Table1[Ethnically Diverse],"1")+COUNTIF(Table1910[Ethnically Diverse],"1")+COUNTIF(Table19[Ethnically Diverse],"1")+COUNTIF(Table16[Ethnically Diverse],"1")+COUNTIF(Table167[Ethnically Diverse],"1")+COUNTIF(Table1678[Ethnically Diverse],"1"))</f>
        <v>0.25</v>
      </c>
      <c r="K41" s="68">
        <f t="shared" ref="K41" si="7">K12+K27</f>
        <v>0</v>
      </c>
      <c r="L41" s="77">
        <f>K41/(COUNTIF(Table1[Ethnically Diverse],"1")+COUNTIF(Table1910[Ethnically Diverse],"1")+COUNTIF(Table19[Ethnically Diverse],"1")+COUNTIF(Table16[Ethnically Diverse],"1")+COUNTIF(Table167[Ethnically Diverse],"1")+COUNTIF(Table1678[Ethnically Diverse],"1"))</f>
        <v>0</v>
      </c>
      <c r="M41" s="68">
        <f t="shared" ref="M41" si="8">M12+M27</f>
        <v>4</v>
      </c>
      <c r="N41" s="77">
        <f>M41/(COUNTIF(Table1[Ethnically Diverse],"1")+COUNTIF(Table1910[Ethnically Diverse],"1")+COUNTIF(Table19[Ethnically Diverse],"1")+COUNTIF(Table16[Ethnically Diverse],"1")+COUNTIF(Table167[Ethnically Diverse],"1")+COUNTIF(Table1678[Ethnically Diverse],"1"))</f>
        <v>1</v>
      </c>
    </row>
    <row r="42" spans="2:14" x14ac:dyDescent="0.25">
      <c r="B42" s="69" t="s">
        <v>42</v>
      </c>
      <c r="C42" s="68">
        <f t="shared" si="0"/>
        <v>6</v>
      </c>
      <c r="D42" s="77">
        <f>C42/(COUNTIF(Table1[EAL],"1")+COUNTIF(Table1910[EAL],"1")+COUNTIF(Table19[EAL],"1")+COUNTIF(Table16[EAL],"1")+COUNTIF(Table167[EAL],"1")+COUNTIF(Table1678[EAL],"1"))</f>
        <v>0.66666666666666663</v>
      </c>
      <c r="E42" s="68">
        <f t="shared" si="0"/>
        <v>5</v>
      </c>
      <c r="F42" s="77">
        <f>E42/(COUNTIF(Table1[EAL],"1")+COUNTIF(Table1910[EAL],"1")+COUNTIF(Table19[EAL],"1")+COUNTIF(Table16[EAL],"1")+COUNTIF(Table167[EAL],"1")+COUNTIF(Table1678[EAL],"1"))</f>
        <v>0.55555555555555558</v>
      </c>
      <c r="G42" s="68">
        <f t="shared" ref="G42" si="9">G13+G28</f>
        <v>2</v>
      </c>
      <c r="H42" s="77">
        <f>G42/(COUNTIF(Table1[EAL],"1")+COUNTIF(Table1910[EAL],"1")+COUNTIF(Table19[EAL],"1")+COUNTIF(Table16[EAL],"1")+COUNTIF(Table167[EAL],"1")+COUNTIF(Table1678[EAL],"1"))</f>
        <v>0.22222222222222221</v>
      </c>
      <c r="I42" s="68">
        <f t="shared" ref="I42" si="10">I13+I28</f>
        <v>3</v>
      </c>
      <c r="J42" s="77">
        <f>I42/(COUNTIF(Table1[EAL],"1")+COUNTIF(Table1910[EAL],"1")+COUNTIF(Table19[EAL],"1")+COUNTIF(Table16[EAL],"1")+COUNTIF(Table167[EAL],"1")+COUNTIF(Table1678[EAL],"1"))</f>
        <v>0.33333333333333331</v>
      </c>
      <c r="K42" s="68">
        <f t="shared" ref="K42" si="11">K13+K28</f>
        <v>1</v>
      </c>
      <c r="L42" s="77">
        <f>K42/(COUNTIF(Table1[EAL],"1")+COUNTIF(Table1910[EAL],"1")+COUNTIF(Table19[EAL],"1")+COUNTIF(Table16[EAL],"1")+COUNTIF(Table167[EAL],"1")+COUNTIF(Table1678[EAL],"1"))</f>
        <v>0.1111111111111111</v>
      </c>
      <c r="M42" s="68">
        <f t="shared" ref="M42" si="12">M13+M28</f>
        <v>9</v>
      </c>
      <c r="N42" s="77">
        <f>M42/(COUNTIF(Table1[EAL],"1")+COUNTIF(Table1910[EAL],"1")+COUNTIF(Table19[EAL],"1")+COUNTIF(Table16[EAL],"1")+COUNTIF(Table167[EAL],"1")+COUNTIF(Table1678[EAL],"1"))</f>
        <v>1</v>
      </c>
    </row>
    <row r="43" spans="2:14" x14ac:dyDescent="0.25">
      <c r="B43" s="69" t="s">
        <v>43</v>
      </c>
      <c r="C43" s="68">
        <f t="shared" si="0"/>
        <v>4</v>
      </c>
      <c r="D43" s="77">
        <f>C43/(COUNTIF(Table1[SEN],"1")+COUNTIF(Table1910[SEN],"1")+COUNTIF(Table19[SEN],"1")+COUNTIF(Table16[SEN],"1")+COUNTIF(Table167[SEN],"1")+COUNTIF(Table1678[SEN],"1"))</f>
        <v>0.66666666666666663</v>
      </c>
      <c r="E43" s="68">
        <f t="shared" si="0"/>
        <v>3</v>
      </c>
      <c r="F43" s="77">
        <f>E43/(COUNTIF(Table1[SEN],"1")+COUNTIF(Table1910[SEN],"1")+COUNTIF(Table19[SEN],"1")+COUNTIF(Table16[SEN],"1")+COUNTIF(Table167[SEN],"1")+COUNTIF(Table1678[SEN],"1"))</f>
        <v>0.5</v>
      </c>
      <c r="G43" s="68">
        <f t="shared" ref="G43" si="13">G14+G29</f>
        <v>1</v>
      </c>
      <c r="H43" s="77">
        <f>G43/(COUNTIF(Table1[SEN],"1")+COUNTIF(Table1910[SEN],"1")+COUNTIF(Table19[SEN],"1")+COUNTIF(Table16[SEN],"1")+COUNTIF(Table167[SEN],"1")+COUNTIF(Table1678[SEN],"1"))</f>
        <v>0.16666666666666666</v>
      </c>
      <c r="I43" s="68">
        <f t="shared" ref="I43" si="14">I14+I29</f>
        <v>1</v>
      </c>
      <c r="J43" s="77">
        <f>I43/(COUNTIF(Table1[SEN],"1")+COUNTIF(Table1910[SEN],"1")+COUNTIF(Table19[SEN],"1")+COUNTIF(Table16[SEN],"1")+COUNTIF(Table167[SEN],"1")+COUNTIF(Table1678[SEN],"1"))</f>
        <v>0.16666666666666666</v>
      </c>
      <c r="K43" s="68">
        <f t="shared" ref="K43" si="15">K14+K29</f>
        <v>0</v>
      </c>
      <c r="L43" s="77">
        <f>K43/(COUNTIF(Table1[SEN],"1")+COUNTIF(Table1910[SEN],"1")+COUNTIF(Table19[SEN],"1")+COUNTIF(Table16[SEN],"1")+COUNTIF(Table167[SEN],"1")+COUNTIF(Table1678[SEN],"1"))</f>
        <v>0</v>
      </c>
      <c r="M43" s="68">
        <f t="shared" ref="M43" si="16">M14+M29</f>
        <v>6</v>
      </c>
      <c r="N43" s="77">
        <f>M43/(COUNTIF(Table1[SEN],"1")+COUNTIF(Table1910[SEN],"1")+COUNTIF(Table19[SEN],"1")+COUNTIF(Table16[SEN],"1")+COUNTIF(Table167[SEN],"1")+COUNTIF(Table1678[SEN],"1"))</f>
        <v>1</v>
      </c>
    </row>
    <row r="44" spans="2:14" x14ac:dyDescent="0.25">
      <c r="B44" s="69" t="s">
        <v>44</v>
      </c>
      <c r="C44" s="68">
        <f t="shared" si="0"/>
        <v>4</v>
      </c>
      <c r="D44" s="77">
        <f>C44/(COUNTIF(Table1[Young Leader],"1")+COUNTIF(Table1910[Young Leader],"1")+COUNTIF(Table19[Young Leader],"1")+COUNTIF(Table16[Young Leader],"1")+COUNTIF(Table167[Young Leader],"1")+COUNTIF(Table1678[Young Leader],"1"))</f>
        <v>0.66666666666666663</v>
      </c>
      <c r="E44" s="68">
        <f t="shared" si="0"/>
        <v>4</v>
      </c>
      <c r="F44" s="77">
        <f>E44/(COUNTIF(Table1[Young Leader],"1")+COUNTIF(Table1910[Young Leader],"1")+COUNTIF(Table19[Young Leader],"1")+COUNTIF(Table16[Young Leader],"1")+COUNTIF(Table167[Young Leader],"1")+COUNTIF(Table1678[Young Leader],"1"))</f>
        <v>0.66666666666666663</v>
      </c>
      <c r="G44" s="68">
        <f t="shared" ref="G44" si="17">G15+G30</f>
        <v>1</v>
      </c>
      <c r="H44" s="77">
        <f>G44/(COUNTIF(Table1[Young Leader],"1")+COUNTIF(Table1910[Young Leader],"1")+COUNTIF(Table19[Young Leader],"1")+COUNTIF(Table16[Young Leader],"1")+COUNTIF(Table167[Young Leader],"1")+COUNTIF(Table1678[Young Leader],"1"))</f>
        <v>0.16666666666666666</v>
      </c>
      <c r="I44" s="68">
        <f t="shared" ref="I44" si="18">I15+I30</f>
        <v>3</v>
      </c>
      <c r="J44" s="77">
        <f>I44/(COUNTIF(Table1[Young Leader],"1")+COUNTIF(Table1910[Young Leader],"1")+COUNTIF(Table19[Young Leader],"1")+COUNTIF(Table16[Young Leader],"1")+COUNTIF(Table167[Young Leader],"1")+COUNTIF(Table1678[Young Leader],"1"))</f>
        <v>0.5</v>
      </c>
      <c r="K44" s="68">
        <f t="shared" ref="K44" si="19">K15+K30</f>
        <v>1</v>
      </c>
      <c r="L44" s="77">
        <f>K44/(COUNTIF(Table1[Young Leader],"1")+COUNTIF(Table1910[Young Leader],"1")+COUNTIF(Table19[Young Leader],"1")+COUNTIF(Table16[Young Leader],"1")+COUNTIF(Table167[Young Leader],"1")+COUNTIF(Table1678[Young Leader],"1"))</f>
        <v>0.16666666666666666</v>
      </c>
      <c r="M44" s="68">
        <f t="shared" ref="M44" si="20">M15+M30</f>
        <v>6</v>
      </c>
      <c r="N44" s="77">
        <f>M44/(COUNTIF(Table1[Young Leader],"1")+COUNTIF(Table1910[Young Leader],"1")+COUNTIF(Table19[Young Leader],"1")+COUNTIF(Table16[Young Leader],"1")+COUNTIF(Table167[Young Leader],"1")+COUNTIF(Table1678[Young Leader],"1"))</f>
        <v>1</v>
      </c>
    </row>
    <row r="45" spans="2:14" x14ac:dyDescent="0.25">
      <c r="B45" s="69" t="s">
        <v>74</v>
      </c>
      <c r="C45" s="68">
        <f t="shared" si="0"/>
        <v>1</v>
      </c>
      <c r="D45" s="77">
        <f>C45/(COUNTIF(Table1[Least active],"1")+COUNTIF(Table1910[Least active],"1")+COUNTIF(Table19[Least active],"1")+COUNTIF(Table16[Least active],"1")+COUNTIF(Table167[Least active],"1")+COUNTIF(Table1678[Least active],"1"))</f>
        <v>0.25</v>
      </c>
      <c r="E45" s="68">
        <f t="shared" si="0"/>
        <v>3</v>
      </c>
      <c r="F45" s="77">
        <f>E45/(COUNTIF(Table1[Least active],"1")+COUNTIF(Table1910[Least active],"1")+COUNTIF(Table19[Least active],"1")+COUNTIF(Table16[Least active],"1")+COUNTIF(Table167[Least active],"1")+COUNTIF(Table1678[Least active],"1"))</f>
        <v>0.75</v>
      </c>
      <c r="G45" s="68">
        <f t="shared" ref="G45" si="21">G16+G31</f>
        <v>2</v>
      </c>
      <c r="H45" s="77">
        <f>G45/(COUNTIF(Table1[Least active],"1")+COUNTIF(Table1910[Least active],"1")+COUNTIF(Table19[Least active],"1")+COUNTIF(Table16[Least active],"1")+COUNTIF(Table167[Least active],"1")+COUNTIF(Table1678[Least active],"1"))</f>
        <v>0.5</v>
      </c>
      <c r="I45" s="68">
        <f t="shared" ref="I45" si="22">I16+I31</f>
        <v>1</v>
      </c>
      <c r="J45" s="77">
        <f>I45/(COUNTIF(Table1[Least active],"1")+COUNTIF(Table1910[Least active],"1")+COUNTIF(Table19[Least active],"1")+COUNTIF(Table16[Least active],"1")+COUNTIF(Table167[Least active],"1")+COUNTIF(Table1678[Least active],"1"))</f>
        <v>0.25</v>
      </c>
      <c r="K45" s="68">
        <f t="shared" ref="K45" si="23">K16+K31</f>
        <v>1</v>
      </c>
      <c r="L45" s="77">
        <f>K45/(COUNTIF(Table1[Least active],"1")+COUNTIF(Table1910[Least active],"1")+COUNTIF(Table19[Least active],"1")+COUNTIF(Table16[Least active],"1")+COUNTIF(Table167[Least active],"1")+COUNTIF(Table1678[Least active],"1"))</f>
        <v>0.25</v>
      </c>
      <c r="M45" s="68">
        <f t="shared" ref="M45" si="24">M16+M31</f>
        <v>3</v>
      </c>
      <c r="N45" s="77">
        <f>M45/(COUNTIF(Table1[Least active],"1")+COUNTIF(Table1910[Least active],"1")+COUNTIF(Table19[Least active],"1")+COUNTIF(Table16[Least active],"1")+COUNTIF(Table167[Least active],"1")+COUNTIF(Table1678[Least active],"1"))</f>
        <v>0.75</v>
      </c>
    </row>
    <row r="46" spans="2:14" s="19" customFormat="1" x14ac:dyDescent="0.25">
      <c r="B46" s="78" t="s">
        <v>313</v>
      </c>
      <c r="C46" s="79">
        <f>C17+C32</f>
        <v>11</v>
      </c>
      <c r="D46" s="80">
        <f>C46/($C$5+$C$20)</f>
        <v>2.1999999999999999E-2</v>
      </c>
      <c r="E46" s="79">
        <f>E17+E32</f>
        <v>10</v>
      </c>
      <c r="F46" s="80">
        <f>E46/($C$5+$C$20)</f>
        <v>0.02</v>
      </c>
      <c r="G46" s="79">
        <f>G17+G32</f>
        <v>4</v>
      </c>
      <c r="H46" s="80">
        <f>G46/($C$5+$C$20)</f>
        <v>8.0000000000000002E-3</v>
      </c>
      <c r="I46" s="79">
        <f>I17+I32</f>
        <v>7</v>
      </c>
      <c r="J46" s="80">
        <f>I46/($C$5+$C$20)</f>
        <v>1.4E-2</v>
      </c>
      <c r="K46" s="79">
        <f>K17+K32</f>
        <v>1</v>
      </c>
      <c r="L46" s="80">
        <f>K46/($C$5+$C$20)</f>
        <v>2E-3</v>
      </c>
      <c r="M46" s="79">
        <f>M17+M32</f>
        <v>16</v>
      </c>
      <c r="N46" s="80">
        <f t="shared" ref="N46" si="25">M46/($C$5+$C$20)</f>
        <v>3.2000000000000001E-2</v>
      </c>
    </row>
  </sheetData>
  <mergeCells count="3">
    <mergeCell ref="B7:N7"/>
    <mergeCell ref="B22:N22"/>
    <mergeCell ref="B36:N36"/>
  </mergeCells>
  <conditionalFormatting sqref="D9:D17 F9:F17 H9:H17 J9:J17 L9:L17 N9:N17 D24:D32 F24:F32 H24:H32 J24:J32 L24:L32 N24:N32 D38:D46 F38:F46 H38:H46 J38:J46 L38:L46 N38:N4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r:id="rId1"/>
  <legacy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221"/>
  <sheetViews>
    <sheetView showGridLines="0" workbookViewId="0">
      <pane xSplit="10" ySplit="3" topLeftCell="K4" activePane="bottomRight" state="frozen"/>
      <selection pane="topRight" activeCell="K1" sqref="K1"/>
      <selection pane="bottomLeft" activeCell="A4" sqref="A4"/>
      <selection pane="bottomRight" activeCell="C12" sqref="C12"/>
    </sheetView>
  </sheetViews>
  <sheetFormatPr defaultRowHeight="15" x14ac:dyDescent="0.25"/>
  <cols>
    <col min="1" max="1" width="14.140625" customWidth="1"/>
    <col min="2" max="2" width="13.85546875" customWidth="1"/>
    <col min="3" max="3" width="7.5703125" customWidth="1"/>
    <col min="4" max="4" width="9.28515625" customWidth="1"/>
    <col min="5" max="5" width="3.28515625" customWidth="1"/>
    <col min="6" max="6" width="4.140625" customWidth="1"/>
    <col min="7" max="9" width="3.28515625" customWidth="1"/>
    <col min="10" max="11" width="4.28515625" customWidth="1"/>
    <col min="12" max="12" width="3.7109375" style="2" customWidth="1"/>
    <col min="13" max="13" width="4.28515625" style="91" customWidth="1"/>
    <col min="14" max="14" width="4.28515625" style="2" customWidth="1"/>
    <col min="15" max="16" width="4.28515625" customWidth="1"/>
    <col min="17" max="26" width="3.140625" customWidth="1"/>
    <col min="27" max="66" width="3.7109375" hidden="1" customWidth="1"/>
    <col min="67" max="81" width="2.5703125" customWidth="1"/>
    <col min="82" max="116" width="2.85546875" hidden="1" customWidth="1"/>
    <col min="117" max="131" width="3.140625" customWidth="1"/>
    <col min="132" max="166" width="3.7109375" hidden="1" customWidth="1"/>
    <col min="167" max="172" width="3.28515625" customWidth="1"/>
    <col min="173" max="181" width="3.140625" customWidth="1"/>
    <col min="182" max="216" width="3.140625" hidden="1" customWidth="1"/>
    <col min="217" max="217" width="24.140625" style="19" customWidth="1"/>
  </cols>
  <sheetData>
    <row r="1" spans="1:218" ht="43.5" customHeight="1" x14ac:dyDescent="0.25">
      <c r="B1" s="144" t="s">
        <v>315</v>
      </c>
      <c r="C1" s="144"/>
      <c r="D1" s="144"/>
      <c r="E1" s="144"/>
      <c r="F1" s="144"/>
      <c r="G1" s="144"/>
      <c r="H1" s="144"/>
      <c r="I1" s="144"/>
      <c r="J1" s="144"/>
      <c r="K1" s="66"/>
      <c r="L1" s="86"/>
      <c r="M1" s="86"/>
      <c r="N1" s="86"/>
      <c r="O1" s="66"/>
      <c r="P1" s="66"/>
      <c r="Q1" s="145" t="s">
        <v>31</v>
      </c>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6" t="s">
        <v>115</v>
      </c>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8" t="s">
        <v>323</v>
      </c>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9" t="s">
        <v>324</v>
      </c>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73"/>
    </row>
    <row r="2" spans="1:218" s="20" customFormat="1" ht="18.75" customHeight="1" x14ac:dyDescent="0.25">
      <c r="A2" s="20" t="s">
        <v>58</v>
      </c>
      <c r="E2" s="20">
        <f>Table1910[[#Totals],[FSM / PP]]</f>
        <v>1</v>
      </c>
      <c r="F2" s="20">
        <f>Table1910[[#Totals],[Ethnically Diverse]]</f>
        <v>2</v>
      </c>
      <c r="G2" s="20">
        <f>Table1910[[#Totals],[EAL]]</f>
        <v>3</v>
      </c>
      <c r="H2" s="20">
        <f>Table1910[[#Totals],[SEN]]</f>
        <v>4</v>
      </c>
      <c r="I2" s="20">
        <f>Table1910[[#Totals],[Young Leader]]</f>
        <v>1</v>
      </c>
      <c r="J2" s="20">
        <f>Table1910[[#Totals],[Least active]]</f>
        <v>1</v>
      </c>
      <c r="K2" s="20">
        <f>Table1910[[#Totals],[Total Challenges]]</f>
        <v>5</v>
      </c>
      <c r="L2" s="87">
        <f>Table1910[[#Totals],[Total Ex-C Clubs]]</f>
        <v>1</v>
      </c>
      <c r="M2" s="89">
        <f>Table1910[[#Totals],[Total Intra-School Sports]]</f>
        <v>0</v>
      </c>
      <c r="N2" s="87">
        <f>Table1910[[#Totals],[Total Inter-School Sports]]</f>
        <v>1</v>
      </c>
      <c r="O2" s="20">
        <f>Table1910[[#Totals],[Community Clubs]]</f>
        <v>0</v>
      </c>
      <c r="P2" s="20">
        <f>Table1910[[#Totals],[Active Opportunity]]</f>
        <v>4</v>
      </c>
      <c r="Q2" s="20">
        <f>Table1910[[#Totals],[Challenge 1]]</f>
        <v>4</v>
      </c>
      <c r="R2" s="20">
        <f>Table1910[[#Totals],[Challenge 2]]</f>
        <v>0</v>
      </c>
      <c r="S2" s="20">
        <f>Table1910[[#Totals],[Challenge 3]]</f>
        <v>1</v>
      </c>
      <c r="T2" s="20">
        <f>Table1910[[#Totals],[Challenge 4]]</f>
        <v>0</v>
      </c>
      <c r="U2" s="20">
        <f>Table1910[[#Totals],[Challenge 5]]</f>
        <v>0</v>
      </c>
      <c r="V2" s="20">
        <f>Table1910[[#Totals],[Challenge 6]]</f>
        <v>0</v>
      </c>
      <c r="W2" s="20">
        <f>Table1910[[#Totals],[Challenge 7]]</f>
        <v>0</v>
      </c>
      <c r="X2" s="20">
        <f>Table1910[[#Totals],[Challenge 8]]</f>
        <v>0</v>
      </c>
      <c r="Y2" s="20">
        <f>Table1910[[#Totals],[Challenge 9]]</f>
        <v>0</v>
      </c>
      <c r="Z2" s="20">
        <f>Table1910[[#Totals],[Challenge 10]]</f>
        <v>0</v>
      </c>
      <c r="AA2" s="20">
        <f>Table1910[[#Totals],[Challenge 11]]</f>
        <v>0</v>
      </c>
      <c r="AB2" s="20">
        <f>Table1910[[#Totals],[Challenge 12]]</f>
        <v>0</v>
      </c>
      <c r="AC2" s="20">
        <f>Table1910[[#Totals],[Challenge 13]]</f>
        <v>0</v>
      </c>
      <c r="AD2" s="20">
        <f>Table1910[[#Totals],[Challenge 14]]</f>
        <v>0</v>
      </c>
      <c r="AE2" s="20">
        <f>Table1910[[#Totals],[Challenge 15]]</f>
        <v>0</v>
      </c>
      <c r="AF2" s="20">
        <f>Table1910[[#Totals],[Challenge 16]]</f>
        <v>0</v>
      </c>
      <c r="AG2" s="20">
        <f>Table1910[[#Totals],[Challenge 17]]</f>
        <v>0</v>
      </c>
      <c r="AH2" s="20">
        <f>Table1910[[#Totals],[Challenge 18]]</f>
        <v>0</v>
      </c>
      <c r="AI2" s="20">
        <f>Table1910[[#Totals],[Challenge 19]]</f>
        <v>0</v>
      </c>
      <c r="AJ2" s="20">
        <f>Table1910[[#Totals],[Challenge 20]]</f>
        <v>0</v>
      </c>
      <c r="AK2" s="20">
        <f>Table1910[[#Totals],[Challenge 21]]</f>
        <v>0</v>
      </c>
      <c r="AL2" s="20">
        <f>Table1910[[#Totals],[Challenge 22]]</f>
        <v>0</v>
      </c>
      <c r="AM2" s="20">
        <f>Table1910[[#Totals],[Challenge 23]]</f>
        <v>0</v>
      </c>
      <c r="AN2" s="20">
        <f>Table1910[[#Totals],[Challenge 24]]</f>
        <v>0</v>
      </c>
      <c r="AO2" s="20">
        <f>Table1910[[#Totals],[Challenge 25]]</f>
        <v>0</v>
      </c>
      <c r="AP2" s="20">
        <f>Table1910[[#Totals],[Challenge 26]]</f>
        <v>0</v>
      </c>
      <c r="AQ2" s="20">
        <f>Table1910[[#Totals],[Challenge 27]]</f>
        <v>0</v>
      </c>
      <c r="AR2" s="20">
        <f>Table1910[[#Totals],[Challenge 28]]</f>
        <v>0</v>
      </c>
      <c r="AS2" s="20">
        <f>Table1910[[#Totals],[Challenge 29]]</f>
        <v>0</v>
      </c>
      <c r="AT2" s="20">
        <f>Table1910[[#Totals],[Challenge 30]]</f>
        <v>0</v>
      </c>
      <c r="AU2" s="20">
        <f>Table1910[[#Totals],[Challenge 31]]</f>
        <v>0</v>
      </c>
      <c r="AV2" s="20">
        <f>Table1910[[#Totals],[Challenge 32]]</f>
        <v>0</v>
      </c>
      <c r="AW2" s="20">
        <f>Table1910[[#Totals],[Challenge 33]]</f>
        <v>0</v>
      </c>
      <c r="AX2" s="20">
        <f>Table1910[[#Totals],[Challenge 34]]</f>
        <v>0</v>
      </c>
      <c r="AY2" s="20">
        <f>Table1910[[#Totals],[Challenge 35]]</f>
        <v>0</v>
      </c>
      <c r="AZ2" s="20">
        <f>Table1910[[#Totals],[Challenge 36]]</f>
        <v>0</v>
      </c>
      <c r="BA2" s="20">
        <f>Table1910[[#Totals],[Challenge 37]]</f>
        <v>0</v>
      </c>
      <c r="BB2" s="20">
        <f>Table1910[[#Totals],[Challenge 38]]</f>
        <v>0</v>
      </c>
      <c r="BC2" s="20">
        <f>Table1910[[#Totals],[Challenge 39]]</f>
        <v>0</v>
      </c>
      <c r="BD2" s="20">
        <f>Table1910[[#Totals],[Challenge 40]]</f>
        <v>0</v>
      </c>
      <c r="BE2" s="20">
        <f>Table1910[[#Totals],[Challenge 41]]</f>
        <v>0</v>
      </c>
      <c r="BF2" s="20">
        <f>Table1910[[#Totals],[Challenge 42]]</f>
        <v>0</v>
      </c>
      <c r="BG2" s="20">
        <f>Table1910[[#Totals],[Challenge 43]]</f>
        <v>0</v>
      </c>
      <c r="BH2" s="20">
        <f>Table1910[[#Totals],[Challenge 44]]</f>
        <v>0</v>
      </c>
      <c r="BI2" s="20">
        <f>Table1910[[#Totals],[Challenge 45]]</f>
        <v>0</v>
      </c>
      <c r="BJ2" s="20">
        <f>Table1910[[#Totals],[Challenge 46]]</f>
        <v>0</v>
      </c>
      <c r="BK2" s="20">
        <f>Table1910[[#Totals],[Challenge 47]]</f>
        <v>0</v>
      </c>
      <c r="BL2" s="20">
        <f>Table1910[[#Totals],[Challenge 48]]</f>
        <v>0</v>
      </c>
      <c r="BM2" s="20">
        <f>Table1910[[#Totals],[Challenge 49]]</f>
        <v>0</v>
      </c>
      <c r="BN2" s="20">
        <f>Table1910[[#Totals],[Challenge 50]]</f>
        <v>0</v>
      </c>
      <c r="BO2" s="20">
        <f>Table1910[[#Totals],[Club 1]]</f>
        <v>0</v>
      </c>
      <c r="BP2" s="20">
        <f>Table1910[[#Totals],[Club 2]]</f>
        <v>0</v>
      </c>
      <c r="BQ2" s="20">
        <f>Table1910[[#Totals],[Club 3]]</f>
        <v>1</v>
      </c>
      <c r="BR2" s="20">
        <f>Table1910[[#Totals],[Club 4]]</f>
        <v>0</v>
      </c>
      <c r="BS2" s="20">
        <f>Table1910[[#Totals],[Club 5]]</f>
        <v>0</v>
      </c>
      <c r="BT2" s="20">
        <f>Table1910[[#Totals],[Club 6]]</f>
        <v>0</v>
      </c>
      <c r="BU2" s="20">
        <f>Table1910[[#Totals],[Club 7]]</f>
        <v>0</v>
      </c>
      <c r="BV2" s="20">
        <f>Table1910[[#Totals],[Club 8]]</f>
        <v>0</v>
      </c>
      <c r="BW2" s="20">
        <f>Table1910[[#Totals],[Club 9]]</f>
        <v>0</v>
      </c>
      <c r="BX2" s="20">
        <f>Table1910[[#Totals],[Club 10]]</f>
        <v>0</v>
      </c>
      <c r="BY2" s="20">
        <f>Table1910[[#Totals],[Club 11]]</f>
        <v>0</v>
      </c>
      <c r="BZ2" s="20">
        <f>Table1910[[#Totals],[Club 12]]</f>
        <v>0</v>
      </c>
      <c r="CA2" s="20">
        <f>Table1910[[#Totals],[Club 13]]</f>
        <v>0</v>
      </c>
      <c r="CB2" s="20">
        <f>Table1910[[#Totals],[Club 14]]</f>
        <v>0</v>
      </c>
      <c r="CC2" s="20">
        <f>Table1910[[#Totals],[Club 15]]</f>
        <v>0</v>
      </c>
      <c r="CD2" s="20">
        <f>Table1910[[#Totals],[Club 16]]</f>
        <v>0</v>
      </c>
      <c r="CE2" s="20">
        <f>Table1910[[#Totals],[Club 17]]</f>
        <v>0</v>
      </c>
      <c r="CF2" s="20">
        <f>Table1910[[#Totals],[Club 18]]</f>
        <v>0</v>
      </c>
      <c r="CG2" s="20">
        <f>Table1910[[#Totals],[Club 19]]</f>
        <v>0</v>
      </c>
      <c r="CH2" s="20">
        <f>Table1910[[#Totals],[Club 20]]</f>
        <v>0</v>
      </c>
      <c r="CI2" s="20">
        <f>Table1910[[#Totals],[Club 21]]</f>
        <v>0</v>
      </c>
      <c r="CJ2" s="20">
        <f>Table1910[[#Totals],[Club 22]]</f>
        <v>0</v>
      </c>
      <c r="CK2" s="20">
        <f>Table1910[[#Totals],[Club 23]]</f>
        <v>0</v>
      </c>
      <c r="CL2" s="20">
        <f>Table1910[[#Totals],[Club 24]]</f>
        <v>0</v>
      </c>
      <c r="CM2" s="20">
        <f>Table1910[[#Totals],[Club 25]]</f>
        <v>0</v>
      </c>
      <c r="CN2" s="20">
        <f>Table1910[[#Totals],[Club 26]]</f>
        <v>0</v>
      </c>
      <c r="CO2" s="20">
        <f>Table1910[[#Totals],[Club 27]]</f>
        <v>0</v>
      </c>
      <c r="CP2" s="20">
        <f>Table1910[[#Totals],[Club 28]]</f>
        <v>0</v>
      </c>
      <c r="CQ2" s="20">
        <f>Table1910[[#Totals],[Club 29]]</f>
        <v>0</v>
      </c>
      <c r="CR2" s="20">
        <f>Table1910[[#Totals],[Club 30]]</f>
        <v>0</v>
      </c>
      <c r="CS2" s="20">
        <f>Table1910[[#Totals],[Club 31]]</f>
        <v>0</v>
      </c>
      <c r="CT2" s="20">
        <f>Table1910[[#Totals],[Club 32]]</f>
        <v>0</v>
      </c>
      <c r="CU2" s="20">
        <f>Table1910[[#Totals],[Club 33]]</f>
        <v>0</v>
      </c>
      <c r="CV2" s="20">
        <f>Table1910[[#Totals],[Club 34]]</f>
        <v>0</v>
      </c>
      <c r="CW2" s="20">
        <f>Table1910[[#Totals],[Club 35]]</f>
        <v>0</v>
      </c>
      <c r="CX2" s="20">
        <f>Table1910[[#Totals],[Club 36]]</f>
        <v>0</v>
      </c>
      <c r="CY2" s="20">
        <f>Table1910[[#Totals],[Club 37]]</f>
        <v>0</v>
      </c>
      <c r="CZ2" s="20">
        <f>Table1910[[#Totals],[Club 38]]</f>
        <v>0</v>
      </c>
      <c r="DA2" s="20">
        <f>Table1910[[#Totals],[Club 39]]</f>
        <v>0</v>
      </c>
      <c r="DB2" s="20">
        <f>Table1910[[#Totals],[Club 40]]</f>
        <v>0</v>
      </c>
      <c r="DC2" s="20">
        <f>Table1910[[#Totals],[Club 41]]</f>
        <v>0</v>
      </c>
      <c r="DD2" s="20">
        <f>Table1910[[#Totals],[Club 42]]</f>
        <v>0</v>
      </c>
      <c r="DE2" s="20">
        <f>Table1910[[#Totals],[Club 43]]</f>
        <v>0</v>
      </c>
      <c r="DF2" s="20">
        <f>Table1910[[#Totals],[Club 44]]</f>
        <v>0</v>
      </c>
      <c r="DG2" s="20">
        <f>Table1910[[#Totals],[Club 45]]</f>
        <v>0</v>
      </c>
      <c r="DH2" s="20">
        <f>Table1910[[#Totals],[Club 46]]</f>
        <v>0</v>
      </c>
      <c r="DI2" s="20">
        <f>Table1910[[#Totals],[Club 47]]</f>
        <v>0</v>
      </c>
      <c r="DJ2" s="20">
        <f>Table1910[[#Totals],[Club 48]]</f>
        <v>0</v>
      </c>
      <c r="DK2" s="20">
        <f>Table1910[[#Totals],[Club 49]]</f>
        <v>0</v>
      </c>
      <c r="DL2" s="20">
        <f>Table1910[[#Totals],[Club 50]]</f>
        <v>0</v>
      </c>
      <c r="DM2" s="20">
        <f>Table1910[[#Totals],[Intra-school sports 1]]</f>
        <v>0</v>
      </c>
      <c r="DN2" s="20">
        <f>Table1910[[#Totals],[Intra-school sports 2]]</f>
        <v>0</v>
      </c>
      <c r="DO2" s="20">
        <f>Table1910[[#Totals],[Intra-school sports 3]]</f>
        <v>0</v>
      </c>
      <c r="DP2" s="20">
        <f>Table1910[[#Totals],[Intra-school sports 4]]</f>
        <v>0</v>
      </c>
      <c r="DQ2" s="20">
        <f>Table1910[[#Totals],[Intra-school sports 5]]</f>
        <v>0</v>
      </c>
      <c r="DR2" s="20">
        <f>Table1910[[#Totals],[Intra-school sports 6]]</f>
        <v>0</v>
      </c>
      <c r="DS2" s="20">
        <f>Table1910[[#Totals],[Intra-school sports 7]]</f>
        <v>0</v>
      </c>
      <c r="DT2" s="20">
        <f>Table1910[[#Totals],[Intra-school sports 8]]</f>
        <v>0</v>
      </c>
      <c r="DU2" s="20">
        <f>Table1910[[#Totals],[Intra-school sports 9]]</f>
        <v>0</v>
      </c>
      <c r="DV2" s="20">
        <f>Table1910[[#Totals],[Intra-school sports 10]]</f>
        <v>0</v>
      </c>
      <c r="DW2" s="20">
        <f>Table1910[[#Totals],[Intra-school sports 11]]</f>
        <v>0</v>
      </c>
      <c r="DX2" s="20">
        <f>Table1910[[#Totals],[Intra-school sports 12]]</f>
        <v>0</v>
      </c>
      <c r="DY2" s="20">
        <f>Table1910[[#Totals],[Intra-school sports 13]]</f>
        <v>0</v>
      </c>
      <c r="DZ2" s="20">
        <f>Table1910[[#Totals],[Intra-school sports 14]]</f>
        <v>0</v>
      </c>
      <c r="EA2" s="20">
        <f>Table1910[[#Totals],[Intra-school sports 15]]</f>
        <v>0</v>
      </c>
      <c r="EB2" s="20">
        <f>Table1910[[#Totals],[Intra-school sports 16]]</f>
        <v>0</v>
      </c>
      <c r="EC2" s="20">
        <f>Table1910[[#Totals],[Intra-school sports 17]]</f>
        <v>0</v>
      </c>
      <c r="ED2" s="20">
        <f>Table1910[[#Totals],[Intra-school sports 18]]</f>
        <v>0</v>
      </c>
      <c r="EE2" s="20">
        <f>Table1910[[#Totals],[Intra-school sports 19]]</f>
        <v>0</v>
      </c>
      <c r="EF2" s="20">
        <f>Table1910[[#Totals],[Intra-school sports 20]]</f>
        <v>0</v>
      </c>
      <c r="EG2" s="20">
        <f>Table1910[[#Totals],[Intra-school sports 21]]</f>
        <v>0</v>
      </c>
      <c r="EH2" s="20">
        <f>Table1910[[#Totals],[Intra-school sports 22]]</f>
        <v>0</v>
      </c>
      <c r="EI2" s="20">
        <f>Table1910[[#Totals],[Intra-school sports 23]]</f>
        <v>0</v>
      </c>
      <c r="EJ2" s="20">
        <f>Table1910[[#Totals],[Intra-school sports 24]]</f>
        <v>0</v>
      </c>
      <c r="EK2" s="20">
        <f>Table1910[[#Totals],[Intra-school sports 25]]</f>
        <v>0</v>
      </c>
      <c r="EL2" s="20">
        <f>Table1910[[#Totals],[Intra-school sports 26]]</f>
        <v>0</v>
      </c>
      <c r="EM2" s="20">
        <f>Table1910[[#Totals],[Intra-school sports 27]]</f>
        <v>0</v>
      </c>
      <c r="EN2" s="20">
        <f>Table1910[[#Totals],[Intra-school sports 28]]</f>
        <v>0</v>
      </c>
      <c r="EO2" s="20">
        <f>Table1910[[#Totals],[Intra-school sports 29]]</f>
        <v>0</v>
      </c>
      <c r="EP2" s="20">
        <f>Table1910[[#Totals],[Intra-school sports 30]]</f>
        <v>0</v>
      </c>
      <c r="EQ2" s="20">
        <f>Table1910[[#Totals],[Intra-school sports 31]]</f>
        <v>0</v>
      </c>
      <c r="ER2" s="20">
        <f>Table1910[[#Totals],[Intra-school sports 32]]</f>
        <v>0</v>
      </c>
      <c r="ES2" s="20">
        <f>Table1910[[#Totals],[Intra-school sports 33]]</f>
        <v>0</v>
      </c>
      <c r="ET2" s="20">
        <f>Table1910[[#Totals],[Intra-school sports 34]]</f>
        <v>0</v>
      </c>
      <c r="EU2" s="20">
        <f>Table1910[[#Totals],[Intra-school sports 35]]</f>
        <v>0</v>
      </c>
      <c r="EV2" s="20">
        <f>Table1910[[#Totals],[Intra-school sports 36]]</f>
        <v>0</v>
      </c>
      <c r="EW2" s="20">
        <f>Table1910[[#Totals],[Intra-school sports 37]]</f>
        <v>0</v>
      </c>
      <c r="EX2" s="20">
        <f>Table1910[[#Totals],[Intra-school sports 38]]</f>
        <v>0</v>
      </c>
      <c r="EY2" s="20">
        <f>Table1910[[#Totals],[Intra-school sports 39]]</f>
        <v>0</v>
      </c>
      <c r="EZ2" s="20">
        <f>Table1910[[#Totals],[Intra-school sports 40]]</f>
        <v>0</v>
      </c>
      <c r="FA2" s="20">
        <f>Table1910[[#Totals],[Intra-school sports 41]]</f>
        <v>0</v>
      </c>
      <c r="FB2" s="20">
        <f>Table1910[[#Totals],[Intra-school sports 42]]</f>
        <v>0</v>
      </c>
      <c r="FC2" s="20">
        <f>Table1910[[#Totals],[Intra-school sports 43]]</f>
        <v>0</v>
      </c>
      <c r="FD2" s="20">
        <f>Table1910[[#Totals],[Intra-school sports 44]]</f>
        <v>0</v>
      </c>
      <c r="FE2" s="20">
        <f>Table1910[[#Totals],[Intra-school sports 45]]</f>
        <v>0</v>
      </c>
      <c r="FF2" s="20">
        <f>Table1910[[#Totals],[Intra-school sports 46]]</f>
        <v>0</v>
      </c>
      <c r="FG2" s="20">
        <f>Table1910[[#Totals],[Intra-school sports 47]]</f>
        <v>0</v>
      </c>
      <c r="FH2" s="20">
        <f>Table1910[[#Totals],[Intra-school sports 48]]</f>
        <v>0</v>
      </c>
      <c r="FI2" s="20">
        <f>Table1910[[#Totals],[Intra-school sports 49]]</f>
        <v>0</v>
      </c>
      <c r="FJ2" s="20">
        <f>Table1910[[#Totals],[Intra-school sports 50]]</f>
        <v>0</v>
      </c>
      <c r="FK2" s="20">
        <f>Table1910[[#Totals],[Inter School sports 1]]</f>
        <v>1</v>
      </c>
      <c r="FL2" s="20">
        <f>Table1910[[#Totals],[Inter School sports 2]]</f>
        <v>0</v>
      </c>
      <c r="FM2" s="20">
        <f>Table1910[[#Totals],[Inter School sports 3]]</f>
        <v>0</v>
      </c>
      <c r="FN2" s="20">
        <f>Table1910[[#Totals],[Inter School sports 4]]</f>
        <v>0</v>
      </c>
      <c r="FO2" s="20">
        <f>Table1910[[#Totals],[Inter School sports 5]]</f>
        <v>0</v>
      </c>
      <c r="FP2" s="20">
        <f>Table1910[[#Totals],[Inter School sports 6]]</f>
        <v>0</v>
      </c>
      <c r="FQ2" s="20">
        <f>Table1910[[#Totals],[Inter School sports 7]]</f>
        <v>0</v>
      </c>
      <c r="FR2" s="20">
        <f>Table1910[[#Totals],[Inter School sports 8]]</f>
        <v>0</v>
      </c>
      <c r="FS2" s="20">
        <f>Table1910[[#Totals],[Inter School sports 9]]</f>
        <v>0</v>
      </c>
      <c r="FT2" s="20">
        <f>Table1910[[#Totals],[Inter School sports 10]]</f>
        <v>0</v>
      </c>
      <c r="FU2" s="20">
        <f>Table1910[[#Totals],[Inter School sports 11]]</f>
        <v>0</v>
      </c>
      <c r="FV2" s="20">
        <f>Table1910[[#Totals],[Inter School sports 12]]</f>
        <v>0</v>
      </c>
      <c r="FW2" s="20">
        <f>Table1910[[#Totals],[Inter School sports 13]]</f>
        <v>0</v>
      </c>
      <c r="FX2" s="20">
        <f>Table1910[[#Totals],[Inter School sports 14]]</f>
        <v>0</v>
      </c>
      <c r="FY2" s="20">
        <f>Table1910[[#Totals],[Inter School sports 15]]</f>
        <v>0</v>
      </c>
      <c r="FZ2" s="20">
        <f>Table1910[[#Totals],[Inter School sports 16]]</f>
        <v>0</v>
      </c>
      <c r="GA2" s="20">
        <f>Table1910[[#Totals],[Inter School sports 17]]</f>
        <v>0</v>
      </c>
      <c r="GB2" s="20">
        <f>Table1910[[#Totals],[Inter School sports 18]]</f>
        <v>0</v>
      </c>
      <c r="GC2" s="20">
        <f>Table1910[[#Totals],[Inter School sports 19]]</f>
        <v>0</v>
      </c>
      <c r="GD2" s="20">
        <f>Table1910[[#Totals],[Inter School sports 20]]</f>
        <v>0</v>
      </c>
      <c r="GE2" s="20">
        <f>Table1910[[#Totals],[Inter School sports 21]]</f>
        <v>0</v>
      </c>
      <c r="GF2" s="20">
        <f>Table1910[[#Totals],[Inter School sports 22]]</f>
        <v>0</v>
      </c>
      <c r="GG2" s="20">
        <f>Table1910[[#Totals],[Inter School sports 23]]</f>
        <v>0</v>
      </c>
      <c r="GH2" s="20">
        <f>Table1910[[#Totals],[Inter School sports 24]]</f>
        <v>0</v>
      </c>
      <c r="GI2" s="20">
        <f>Table1910[[#Totals],[Inter School sports 25]]</f>
        <v>0</v>
      </c>
      <c r="GJ2" s="20">
        <f>Table1910[[#Totals],[Inter School sports 26]]</f>
        <v>0</v>
      </c>
      <c r="GK2" s="20">
        <f>Table1910[[#Totals],[Inter School sports 27]]</f>
        <v>0</v>
      </c>
      <c r="GL2" s="20">
        <f>Table1910[[#Totals],[Inter School sports 28]]</f>
        <v>0</v>
      </c>
      <c r="GM2" s="20">
        <f>Table1910[[#Totals],[Inter School sports 29]]</f>
        <v>0</v>
      </c>
      <c r="GN2" s="20">
        <f>Table1910[[#Totals],[Inter School sports 30]]</f>
        <v>0</v>
      </c>
      <c r="GO2" s="20">
        <f>Table1910[[#Totals],[Inter School sports 31]]</f>
        <v>0</v>
      </c>
      <c r="GP2" s="20">
        <f>Table1910[[#Totals],[Inter School sports 32]]</f>
        <v>0</v>
      </c>
      <c r="GQ2" s="20">
        <f>Table1910[[#Totals],[Inter School sports 33]]</f>
        <v>0</v>
      </c>
      <c r="GR2" s="20">
        <f>Table1910[[#Totals],[Inter School sports 34]]</f>
        <v>0</v>
      </c>
      <c r="GS2" s="20">
        <f>Table1910[[#Totals],[Inter School sports 35]]</f>
        <v>0</v>
      </c>
      <c r="GT2" s="20">
        <f>Table1910[[#Totals],[Inter School sports 36]]</f>
        <v>0</v>
      </c>
      <c r="GU2" s="20">
        <f>Table1910[[#Totals],[Inter School sports 37]]</f>
        <v>0</v>
      </c>
      <c r="GV2" s="20">
        <f>Table1910[[#Totals],[Inter School sports 38]]</f>
        <v>0</v>
      </c>
      <c r="GW2" s="20">
        <f>Table1910[[#Totals],[Inter School sports 39]]</f>
        <v>0</v>
      </c>
      <c r="GX2" s="20">
        <f>Table1910[[#Totals],[Inter School sports 40]]</f>
        <v>0</v>
      </c>
      <c r="GY2" s="20">
        <f>Table1910[[#Totals],[Inter School sports 41]]</f>
        <v>0</v>
      </c>
      <c r="GZ2" s="20">
        <f>Table1910[[#Totals],[Inter School sports 42]]</f>
        <v>0</v>
      </c>
      <c r="HA2" s="20">
        <f>Table1910[[#Totals],[Inter School sports 43]]</f>
        <v>0</v>
      </c>
      <c r="HB2" s="20">
        <f>Table1910[[#Totals],[Inter School sports 44]]</f>
        <v>0</v>
      </c>
      <c r="HC2" s="20">
        <f>Table1910[[#Totals],[Inter School sports 45]]</f>
        <v>0</v>
      </c>
      <c r="HD2" s="20">
        <f>Table1910[[#Totals],[Inter School sports 46]]</f>
        <v>0</v>
      </c>
      <c r="HE2" s="20">
        <f>Table1910[[#Totals],[Inter School sports 47]]</f>
        <v>0</v>
      </c>
      <c r="HF2" s="20">
        <f>Table1910[[#Totals],[Inter School sports 48]]</f>
        <v>0</v>
      </c>
      <c r="HG2" s="20">
        <f>Table1910[[#Totals],[Inter School sports 49]]</f>
        <v>0</v>
      </c>
      <c r="HH2" s="20">
        <f>Table1910[[#Totals],[Inter School sports 50]]</f>
        <v>0</v>
      </c>
      <c r="HJ2"/>
    </row>
    <row r="3" spans="1:218" ht="135.75" customHeight="1" x14ac:dyDescent="0.25">
      <c r="A3" s="15" t="s">
        <v>39</v>
      </c>
      <c r="B3" s="15" t="s">
        <v>40</v>
      </c>
      <c r="C3" s="15" t="s">
        <v>41</v>
      </c>
      <c r="D3" s="15" t="s">
        <v>317</v>
      </c>
      <c r="E3" s="16" t="s">
        <v>316</v>
      </c>
      <c r="F3" s="16" t="s">
        <v>332</v>
      </c>
      <c r="G3" s="16" t="s">
        <v>42</v>
      </c>
      <c r="H3" s="16" t="s">
        <v>43</v>
      </c>
      <c r="I3" s="16" t="s">
        <v>44</v>
      </c>
      <c r="J3" s="16" t="s">
        <v>74</v>
      </c>
      <c r="K3" s="23" t="s">
        <v>318</v>
      </c>
      <c r="L3" s="25" t="s">
        <v>319</v>
      </c>
      <c r="M3" s="26" t="s">
        <v>320</v>
      </c>
      <c r="N3" s="27" t="s">
        <v>321</v>
      </c>
      <c r="O3" s="74" t="s">
        <v>306</v>
      </c>
      <c r="P3" s="82" t="s">
        <v>322</v>
      </c>
      <c r="Q3" s="23" t="s">
        <v>51</v>
      </c>
      <c r="R3" s="23" t="s">
        <v>52</v>
      </c>
      <c r="S3" s="23" t="s">
        <v>53</v>
      </c>
      <c r="T3" s="23" t="s">
        <v>54</v>
      </c>
      <c r="U3" s="23" t="s">
        <v>55</v>
      </c>
      <c r="V3" s="23" t="s">
        <v>56</v>
      </c>
      <c r="W3" s="23" t="s">
        <v>162</v>
      </c>
      <c r="X3" s="23" t="s">
        <v>163</v>
      </c>
      <c r="Y3" s="23" t="s">
        <v>164</v>
      </c>
      <c r="Z3" s="23" t="s">
        <v>165</v>
      </c>
      <c r="AA3" s="23" t="s">
        <v>166</v>
      </c>
      <c r="AB3" s="23" t="s">
        <v>167</v>
      </c>
      <c r="AC3" s="23" t="s">
        <v>168</v>
      </c>
      <c r="AD3" s="23" t="s">
        <v>169</v>
      </c>
      <c r="AE3" s="23" t="s">
        <v>170</v>
      </c>
      <c r="AF3" s="23" t="s">
        <v>171</v>
      </c>
      <c r="AG3" s="23" t="s">
        <v>172</v>
      </c>
      <c r="AH3" s="23" t="s">
        <v>173</v>
      </c>
      <c r="AI3" s="23" t="s">
        <v>174</v>
      </c>
      <c r="AJ3" s="23" t="s">
        <v>175</v>
      </c>
      <c r="AK3" s="23" t="s">
        <v>176</v>
      </c>
      <c r="AL3" s="23" t="s">
        <v>177</v>
      </c>
      <c r="AM3" s="23" t="s">
        <v>178</v>
      </c>
      <c r="AN3" s="23" t="s">
        <v>179</v>
      </c>
      <c r="AO3" s="23" t="s">
        <v>180</v>
      </c>
      <c r="AP3" s="23" t="s">
        <v>181</v>
      </c>
      <c r="AQ3" s="23" t="s">
        <v>182</v>
      </c>
      <c r="AR3" s="23" t="s">
        <v>183</v>
      </c>
      <c r="AS3" s="23" t="s">
        <v>184</v>
      </c>
      <c r="AT3" s="23" t="s">
        <v>185</v>
      </c>
      <c r="AU3" s="23" t="s">
        <v>186</v>
      </c>
      <c r="AV3" s="23" t="s">
        <v>187</v>
      </c>
      <c r="AW3" s="23" t="s">
        <v>188</v>
      </c>
      <c r="AX3" s="23" t="s">
        <v>189</v>
      </c>
      <c r="AY3" s="23" t="s">
        <v>190</v>
      </c>
      <c r="AZ3" s="23" t="s">
        <v>191</v>
      </c>
      <c r="BA3" s="23" t="s">
        <v>192</v>
      </c>
      <c r="BB3" s="23" t="s">
        <v>193</v>
      </c>
      <c r="BC3" s="23" t="s">
        <v>194</v>
      </c>
      <c r="BD3" s="23" t="s">
        <v>195</v>
      </c>
      <c r="BE3" s="23" t="s">
        <v>196</v>
      </c>
      <c r="BF3" s="23" t="s">
        <v>197</v>
      </c>
      <c r="BG3" s="23" t="s">
        <v>198</v>
      </c>
      <c r="BH3" s="23" t="s">
        <v>199</v>
      </c>
      <c r="BI3" s="23" t="s">
        <v>200</v>
      </c>
      <c r="BJ3" s="23" t="s">
        <v>201</v>
      </c>
      <c r="BK3" s="23" t="s">
        <v>202</v>
      </c>
      <c r="BL3" s="23" t="s">
        <v>203</v>
      </c>
      <c r="BM3" s="23" t="s">
        <v>204</v>
      </c>
      <c r="BN3" s="23" t="s">
        <v>205</v>
      </c>
      <c r="BO3" s="24" t="s">
        <v>45</v>
      </c>
      <c r="BP3" s="24" t="s">
        <v>46</v>
      </c>
      <c r="BQ3" s="24" t="s">
        <v>47</v>
      </c>
      <c r="BR3" s="24" t="s">
        <v>48</v>
      </c>
      <c r="BS3" s="24" t="s">
        <v>49</v>
      </c>
      <c r="BT3" s="24" t="s">
        <v>50</v>
      </c>
      <c r="BU3" s="24" t="s">
        <v>117</v>
      </c>
      <c r="BV3" s="24" t="s">
        <v>123</v>
      </c>
      <c r="BW3" s="24" t="s">
        <v>124</v>
      </c>
      <c r="BX3" s="24" t="s">
        <v>125</v>
      </c>
      <c r="BY3" s="24" t="s">
        <v>126</v>
      </c>
      <c r="BZ3" s="24" t="s">
        <v>127</v>
      </c>
      <c r="CA3" s="24" t="s">
        <v>128</v>
      </c>
      <c r="CB3" s="24" t="s">
        <v>129</v>
      </c>
      <c r="CC3" s="24" t="s">
        <v>130</v>
      </c>
      <c r="CD3" s="24" t="s">
        <v>131</v>
      </c>
      <c r="CE3" s="24" t="s">
        <v>132</v>
      </c>
      <c r="CF3" s="24" t="s">
        <v>133</v>
      </c>
      <c r="CG3" s="24" t="s">
        <v>134</v>
      </c>
      <c r="CH3" s="24" t="s">
        <v>135</v>
      </c>
      <c r="CI3" s="24" t="s">
        <v>136</v>
      </c>
      <c r="CJ3" s="24" t="s">
        <v>137</v>
      </c>
      <c r="CK3" s="24" t="s">
        <v>138</v>
      </c>
      <c r="CL3" s="24" t="s">
        <v>139</v>
      </c>
      <c r="CM3" s="24" t="s">
        <v>140</v>
      </c>
      <c r="CN3" s="24" t="s">
        <v>141</v>
      </c>
      <c r="CO3" s="24" t="s">
        <v>142</v>
      </c>
      <c r="CP3" s="24" t="s">
        <v>143</v>
      </c>
      <c r="CQ3" s="24" t="s">
        <v>144</v>
      </c>
      <c r="CR3" s="24" t="s">
        <v>145</v>
      </c>
      <c r="CS3" s="24" t="s">
        <v>146</v>
      </c>
      <c r="CT3" s="24" t="s">
        <v>119</v>
      </c>
      <c r="CU3" s="24" t="s">
        <v>120</v>
      </c>
      <c r="CV3" s="24" t="s">
        <v>121</v>
      </c>
      <c r="CW3" s="24" t="s">
        <v>122</v>
      </c>
      <c r="CX3" s="24" t="s">
        <v>147</v>
      </c>
      <c r="CY3" s="24" t="s">
        <v>148</v>
      </c>
      <c r="CZ3" s="24" t="s">
        <v>149</v>
      </c>
      <c r="DA3" s="24" t="s">
        <v>150</v>
      </c>
      <c r="DB3" s="24" t="s">
        <v>151</v>
      </c>
      <c r="DC3" s="24" t="s">
        <v>152</v>
      </c>
      <c r="DD3" s="24" t="s">
        <v>153</v>
      </c>
      <c r="DE3" s="24" t="s">
        <v>154</v>
      </c>
      <c r="DF3" s="24" t="s">
        <v>155</v>
      </c>
      <c r="DG3" s="24" t="s">
        <v>156</v>
      </c>
      <c r="DH3" s="24" t="s">
        <v>157</v>
      </c>
      <c r="DI3" s="24" t="s">
        <v>158</v>
      </c>
      <c r="DJ3" s="24" t="s">
        <v>159</v>
      </c>
      <c r="DK3" s="24" t="s">
        <v>160</v>
      </c>
      <c r="DL3" s="24" t="s">
        <v>161</v>
      </c>
      <c r="DM3" s="26" t="s">
        <v>62</v>
      </c>
      <c r="DN3" s="26" t="s">
        <v>63</v>
      </c>
      <c r="DO3" s="26" t="s">
        <v>64</v>
      </c>
      <c r="DP3" s="26" t="s">
        <v>65</v>
      </c>
      <c r="DQ3" s="26" t="s">
        <v>66</v>
      </c>
      <c r="DR3" s="26" t="s">
        <v>67</v>
      </c>
      <c r="DS3" s="26" t="s">
        <v>206</v>
      </c>
      <c r="DT3" s="26" t="s">
        <v>207</v>
      </c>
      <c r="DU3" s="26" t="s">
        <v>208</v>
      </c>
      <c r="DV3" s="26" t="s">
        <v>209</v>
      </c>
      <c r="DW3" s="26" t="s">
        <v>210</v>
      </c>
      <c r="DX3" s="26" t="s">
        <v>211</v>
      </c>
      <c r="DY3" s="26" t="s">
        <v>212</v>
      </c>
      <c r="DZ3" s="26" t="s">
        <v>213</v>
      </c>
      <c r="EA3" s="26" t="s">
        <v>214</v>
      </c>
      <c r="EB3" s="26" t="s">
        <v>215</v>
      </c>
      <c r="EC3" s="26" t="s">
        <v>216</v>
      </c>
      <c r="ED3" s="26" t="s">
        <v>217</v>
      </c>
      <c r="EE3" s="26" t="s">
        <v>218</v>
      </c>
      <c r="EF3" s="26" t="s">
        <v>219</v>
      </c>
      <c r="EG3" s="26" t="s">
        <v>220</v>
      </c>
      <c r="EH3" s="26" t="s">
        <v>221</v>
      </c>
      <c r="EI3" s="26" t="s">
        <v>222</v>
      </c>
      <c r="EJ3" s="26" t="s">
        <v>223</v>
      </c>
      <c r="EK3" s="26" t="s">
        <v>224</v>
      </c>
      <c r="EL3" s="26" t="s">
        <v>225</v>
      </c>
      <c r="EM3" s="26" t="s">
        <v>226</v>
      </c>
      <c r="EN3" s="26" t="s">
        <v>227</v>
      </c>
      <c r="EO3" s="26" t="s">
        <v>228</v>
      </c>
      <c r="EP3" s="26" t="s">
        <v>229</v>
      </c>
      <c r="EQ3" s="26" t="s">
        <v>230</v>
      </c>
      <c r="ER3" s="26" t="s">
        <v>231</v>
      </c>
      <c r="ES3" s="26" t="s">
        <v>232</v>
      </c>
      <c r="ET3" s="26" t="s">
        <v>233</v>
      </c>
      <c r="EU3" s="26" t="s">
        <v>234</v>
      </c>
      <c r="EV3" s="26" t="s">
        <v>235</v>
      </c>
      <c r="EW3" s="26" t="s">
        <v>236</v>
      </c>
      <c r="EX3" s="26" t="s">
        <v>237</v>
      </c>
      <c r="EY3" s="26" t="s">
        <v>238</v>
      </c>
      <c r="EZ3" s="26" t="s">
        <v>239</v>
      </c>
      <c r="FA3" s="26" t="s">
        <v>240</v>
      </c>
      <c r="FB3" s="26" t="s">
        <v>241</v>
      </c>
      <c r="FC3" s="26" t="s">
        <v>242</v>
      </c>
      <c r="FD3" s="26" t="s">
        <v>243</v>
      </c>
      <c r="FE3" s="26" t="s">
        <v>244</v>
      </c>
      <c r="FF3" s="26" t="s">
        <v>245</v>
      </c>
      <c r="FG3" s="26" t="s">
        <v>246</v>
      </c>
      <c r="FH3" s="26" t="s">
        <v>247</v>
      </c>
      <c r="FI3" s="26" t="s">
        <v>248</v>
      </c>
      <c r="FJ3" s="26" t="s">
        <v>249</v>
      </c>
      <c r="FK3" s="27" t="s">
        <v>68</v>
      </c>
      <c r="FL3" s="27" t="s">
        <v>69</v>
      </c>
      <c r="FM3" s="27" t="s">
        <v>70</v>
      </c>
      <c r="FN3" s="27" t="s">
        <v>71</v>
      </c>
      <c r="FO3" s="27" t="s">
        <v>72</v>
      </c>
      <c r="FP3" s="27" t="s">
        <v>73</v>
      </c>
      <c r="FQ3" s="27" t="s">
        <v>118</v>
      </c>
      <c r="FR3" s="27" t="s">
        <v>250</v>
      </c>
      <c r="FS3" s="27" t="s">
        <v>251</v>
      </c>
      <c r="FT3" s="27" t="s">
        <v>252</v>
      </c>
      <c r="FU3" s="27" t="s">
        <v>253</v>
      </c>
      <c r="FV3" s="27" t="s">
        <v>254</v>
      </c>
      <c r="FW3" s="27" t="s">
        <v>255</v>
      </c>
      <c r="FX3" s="27" t="s">
        <v>256</v>
      </c>
      <c r="FY3" s="27" t="s">
        <v>257</v>
      </c>
      <c r="FZ3" s="27" t="s">
        <v>258</v>
      </c>
      <c r="GA3" s="27" t="s">
        <v>259</v>
      </c>
      <c r="GB3" s="27" t="s">
        <v>260</v>
      </c>
      <c r="GC3" s="27" t="s">
        <v>261</v>
      </c>
      <c r="GD3" s="27" t="s">
        <v>262</v>
      </c>
      <c r="GE3" s="27" t="s">
        <v>263</v>
      </c>
      <c r="GF3" s="27" t="s">
        <v>264</v>
      </c>
      <c r="GG3" s="27" t="s">
        <v>265</v>
      </c>
      <c r="GH3" s="27" t="s">
        <v>266</v>
      </c>
      <c r="GI3" s="27" t="s">
        <v>267</v>
      </c>
      <c r="GJ3" s="27" t="s">
        <v>268</v>
      </c>
      <c r="GK3" s="27" t="s">
        <v>269</v>
      </c>
      <c r="GL3" s="27" t="s">
        <v>270</v>
      </c>
      <c r="GM3" s="27" t="s">
        <v>271</v>
      </c>
      <c r="GN3" s="27" t="s">
        <v>272</v>
      </c>
      <c r="GO3" s="27" t="s">
        <v>273</v>
      </c>
      <c r="GP3" s="27" t="s">
        <v>274</v>
      </c>
      <c r="GQ3" s="27" t="s">
        <v>275</v>
      </c>
      <c r="GR3" s="27" t="s">
        <v>276</v>
      </c>
      <c r="GS3" s="27" t="s">
        <v>277</v>
      </c>
      <c r="GT3" s="27" t="s">
        <v>278</v>
      </c>
      <c r="GU3" s="27" t="s">
        <v>279</v>
      </c>
      <c r="GV3" s="27" t="s">
        <v>280</v>
      </c>
      <c r="GW3" s="27" t="s">
        <v>281</v>
      </c>
      <c r="GX3" s="27" t="s">
        <v>282</v>
      </c>
      <c r="GY3" s="27" t="s">
        <v>283</v>
      </c>
      <c r="GZ3" s="27" t="s">
        <v>284</v>
      </c>
      <c r="HA3" s="27" t="s">
        <v>285</v>
      </c>
      <c r="HB3" s="27" t="s">
        <v>286</v>
      </c>
      <c r="HC3" s="27" t="s">
        <v>287</v>
      </c>
      <c r="HD3" s="27" t="s">
        <v>288</v>
      </c>
      <c r="HE3" s="27" t="s">
        <v>289</v>
      </c>
      <c r="HF3" s="27" t="s">
        <v>290</v>
      </c>
      <c r="HG3" s="27" t="s">
        <v>291</v>
      </c>
      <c r="HH3" s="27" t="s">
        <v>292</v>
      </c>
      <c r="HI3" s="75" t="s">
        <v>307</v>
      </c>
    </row>
    <row r="4" spans="1:218" x14ac:dyDescent="0.25">
      <c r="A4" s="22" t="s">
        <v>61</v>
      </c>
      <c r="B4" s="22" t="s">
        <v>61</v>
      </c>
      <c r="C4" s="22" t="s">
        <v>311</v>
      </c>
      <c r="D4" s="22" t="s">
        <v>60</v>
      </c>
      <c r="E4" s="22">
        <v>1</v>
      </c>
      <c r="F4" s="22">
        <v>1</v>
      </c>
      <c r="G4" s="22">
        <v>1</v>
      </c>
      <c r="H4" s="22">
        <v>1</v>
      </c>
      <c r="I4" s="22">
        <v>1</v>
      </c>
      <c r="J4" s="22">
        <v>0</v>
      </c>
      <c r="K4" s="17">
        <f>SUM(Table1910[[#This Row],[Challenge 1]:[Challenge 50]])</f>
        <v>2</v>
      </c>
      <c r="L4" s="88">
        <f>SUM(Table1910[[#This Row],[Club 1]:[Club 50]])</f>
        <v>1</v>
      </c>
      <c r="M4" s="90">
        <f>SUM(Table1910[[#This Row],[Intra-school sports 1]:[Intra-school sports 50]])</f>
        <v>0</v>
      </c>
      <c r="N4" s="88">
        <f>SUM(Table1910[[#This Row],[Inter School sports 1]:[Inter School sports 50]])</f>
        <v>1</v>
      </c>
      <c r="O4" s="17">
        <f>COUNTIF(Table1910[[#This Row],[Community club (type name of club(s). All clubs will count as ''1'']],"*")</f>
        <v>0</v>
      </c>
      <c r="P4" s="17">
        <f>IF(OR(Table1910[[#This Row],[Total Challenges]]&gt;0,Table1910[[#This Row],[Total Ex-C Clubs]]&gt;0,Table1910[[#This Row],[Total Intra-School Sports]]&gt;0,Table1910[[#This Row],[Total Inter-School Sports]]&gt;0,Table1910[[#This Row],[Community Clubs]]&gt;0),1,0)</f>
        <v>1</v>
      </c>
      <c r="Q4" s="22">
        <v>1</v>
      </c>
      <c r="R4" s="22">
        <v>0</v>
      </c>
      <c r="S4" s="22">
        <v>1</v>
      </c>
      <c r="T4" s="22">
        <v>0</v>
      </c>
      <c r="U4" s="22">
        <v>0</v>
      </c>
      <c r="V4" s="22">
        <v>0</v>
      </c>
      <c r="W4" s="22">
        <v>0</v>
      </c>
      <c r="X4" s="22">
        <v>0</v>
      </c>
      <c r="Y4" s="22">
        <v>0</v>
      </c>
      <c r="Z4" s="22">
        <v>0</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18">
        <v>0</v>
      </c>
      <c r="BP4" s="18">
        <v>0</v>
      </c>
      <c r="BQ4" s="18">
        <v>1</v>
      </c>
      <c r="BR4" s="18">
        <v>0</v>
      </c>
      <c r="BS4" s="18">
        <v>0</v>
      </c>
      <c r="BT4" s="18">
        <v>0</v>
      </c>
      <c r="BU4" s="18">
        <v>0</v>
      </c>
      <c r="BV4" s="18">
        <v>0</v>
      </c>
      <c r="BW4" s="18">
        <v>0</v>
      </c>
      <c r="BX4" s="18">
        <v>0</v>
      </c>
      <c r="BY4" s="18">
        <v>0</v>
      </c>
      <c r="BZ4" s="18">
        <v>0</v>
      </c>
      <c r="CA4" s="18">
        <v>0</v>
      </c>
      <c r="CB4" s="18">
        <v>0</v>
      </c>
      <c r="CC4" s="18">
        <v>0</v>
      </c>
      <c r="CD4" s="18">
        <v>0</v>
      </c>
      <c r="CE4" s="18">
        <v>0</v>
      </c>
      <c r="CF4" s="18">
        <v>0</v>
      </c>
      <c r="CG4" s="18">
        <v>0</v>
      </c>
      <c r="CH4" s="18">
        <v>0</v>
      </c>
      <c r="CI4" s="18">
        <v>0</v>
      </c>
      <c r="CJ4" s="18">
        <v>0</v>
      </c>
      <c r="CK4" s="18">
        <v>0</v>
      </c>
      <c r="CL4" s="18">
        <v>0</v>
      </c>
      <c r="CM4" s="18">
        <v>0</v>
      </c>
      <c r="CN4" s="18">
        <v>0</v>
      </c>
      <c r="CO4" s="18">
        <v>0</v>
      </c>
      <c r="CP4" s="18">
        <v>0</v>
      </c>
      <c r="CQ4" s="18">
        <v>0</v>
      </c>
      <c r="CR4" s="18">
        <v>0</v>
      </c>
      <c r="CS4" s="18">
        <v>0</v>
      </c>
      <c r="CT4" s="18">
        <v>0</v>
      </c>
      <c r="CU4" s="18">
        <v>0</v>
      </c>
      <c r="CV4" s="18">
        <v>0</v>
      </c>
      <c r="CW4" s="18">
        <v>0</v>
      </c>
      <c r="CX4" s="18">
        <v>0</v>
      </c>
      <c r="CY4" s="18">
        <v>0</v>
      </c>
      <c r="CZ4" s="18">
        <v>0</v>
      </c>
      <c r="DA4" s="18">
        <v>0</v>
      </c>
      <c r="DB4" s="18">
        <v>0</v>
      </c>
      <c r="DC4" s="18">
        <v>0</v>
      </c>
      <c r="DD4" s="18">
        <v>0</v>
      </c>
      <c r="DE4" s="18">
        <v>0</v>
      </c>
      <c r="DF4" s="18">
        <v>0</v>
      </c>
      <c r="DG4" s="18">
        <v>0</v>
      </c>
      <c r="DH4" s="18">
        <v>0</v>
      </c>
      <c r="DI4" s="18">
        <v>0</v>
      </c>
      <c r="DJ4" s="18">
        <v>0</v>
      </c>
      <c r="DK4" s="18">
        <v>0</v>
      </c>
      <c r="DL4" s="18">
        <v>0</v>
      </c>
      <c r="DM4" s="18">
        <v>0</v>
      </c>
      <c r="DN4" s="18">
        <v>0</v>
      </c>
      <c r="DO4" s="18">
        <v>0</v>
      </c>
      <c r="DP4" s="18">
        <v>0</v>
      </c>
      <c r="DQ4" s="18">
        <v>0</v>
      </c>
      <c r="DR4" s="18">
        <v>0</v>
      </c>
      <c r="DS4" s="18">
        <v>0</v>
      </c>
      <c r="DT4" s="18">
        <v>0</v>
      </c>
      <c r="DU4" s="18">
        <v>0</v>
      </c>
      <c r="DV4" s="18">
        <v>0</v>
      </c>
      <c r="DW4" s="18">
        <v>0</v>
      </c>
      <c r="DX4" s="18">
        <v>0</v>
      </c>
      <c r="DY4" s="18">
        <v>0</v>
      </c>
      <c r="DZ4" s="18">
        <v>0</v>
      </c>
      <c r="EA4" s="18">
        <v>0</v>
      </c>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v>1</v>
      </c>
      <c r="FL4" s="18">
        <v>0</v>
      </c>
      <c r="FM4" s="18">
        <v>0</v>
      </c>
      <c r="FN4" s="18">
        <v>0</v>
      </c>
      <c r="FO4" s="18">
        <v>0</v>
      </c>
      <c r="FP4" s="18">
        <v>0</v>
      </c>
      <c r="FQ4" s="18">
        <v>0</v>
      </c>
      <c r="FR4" s="18">
        <v>0</v>
      </c>
      <c r="FS4" s="18">
        <v>0</v>
      </c>
      <c r="FT4" s="18">
        <v>0</v>
      </c>
      <c r="FU4" s="18">
        <v>0</v>
      </c>
      <c r="FV4" s="18">
        <v>0</v>
      </c>
      <c r="FW4" s="18">
        <v>0</v>
      </c>
      <c r="FX4" s="18">
        <v>0</v>
      </c>
      <c r="FY4" s="18">
        <v>0</v>
      </c>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row>
    <row r="5" spans="1:218" x14ac:dyDescent="0.25">
      <c r="A5" s="22" t="s">
        <v>61</v>
      </c>
      <c r="B5" s="22" t="s">
        <v>61</v>
      </c>
      <c r="C5" s="22" t="s">
        <v>311</v>
      </c>
      <c r="D5" s="22"/>
      <c r="E5" s="22">
        <v>0</v>
      </c>
      <c r="F5" s="22">
        <v>1</v>
      </c>
      <c r="G5" s="22">
        <v>1</v>
      </c>
      <c r="H5" s="22">
        <v>1</v>
      </c>
      <c r="I5" s="22">
        <v>0</v>
      </c>
      <c r="J5" s="22">
        <v>0</v>
      </c>
      <c r="K5" s="17">
        <f>SUM(Table1910[[#This Row],[Challenge 1]:[Challenge 50]])</f>
        <v>1</v>
      </c>
      <c r="L5" s="88">
        <f>SUM(Table1910[[#This Row],[Club 1]:[Club 50]])</f>
        <v>0</v>
      </c>
      <c r="M5" s="90">
        <f>SUM(Table1910[[#This Row],[Intra-school sports 1]:[Intra-school sports 50]])</f>
        <v>0</v>
      </c>
      <c r="N5" s="88">
        <f>SUM(Table1910[[#This Row],[Inter School sports 1]:[Inter School sports 50]])</f>
        <v>0</v>
      </c>
      <c r="O5" s="17">
        <f>COUNTIF(Table1910[[#This Row],[Community club (type name of club(s). All clubs will count as ''1'']],"*")</f>
        <v>0</v>
      </c>
      <c r="P5" s="17">
        <f>IF(OR(Table1910[[#This Row],[Total Challenges]]&gt;0,Table1910[[#This Row],[Total Ex-C Clubs]]&gt;0,Table1910[[#This Row],[Total Intra-School Sports]]&gt;0,Table1910[[#This Row],[Total Inter-School Sports]]&gt;0,Table1910[[#This Row],[Community Clubs]]&gt;0),1,0)</f>
        <v>1</v>
      </c>
      <c r="Q5" s="22">
        <v>1</v>
      </c>
      <c r="R5" s="22"/>
      <c r="S5" s="22"/>
      <c r="T5" s="22"/>
      <c r="U5" s="22"/>
      <c r="V5" s="22"/>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row>
    <row r="6" spans="1:218" x14ac:dyDescent="0.25">
      <c r="A6" s="22" t="s">
        <v>61</v>
      </c>
      <c r="B6" s="22" t="s">
        <v>61</v>
      </c>
      <c r="C6" s="22" t="s">
        <v>59</v>
      </c>
      <c r="D6" s="22"/>
      <c r="E6" s="22">
        <v>0</v>
      </c>
      <c r="F6" s="22">
        <v>0</v>
      </c>
      <c r="G6" s="22">
        <v>1</v>
      </c>
      <c r="H6" s="22">
        <v>1</v>
      </c>
      <c r="I6" s="22">
        <v>0</v>
      </c>
      <c r="J6" s="22">
        <v>0</v>
      </c>
      <c r="K6" s="17">
        <f>SUM(Table1910[[#This Row],[Challenge 1]:[Challenge 50]])</f>
        <v>1</v>
      </c>
      <c r="L6" s="88">
        <f>SUM(Table1910[[#This Row],[Club 1]:[Club 50]])</f>
        <v>0</v>
      </c>
      <c r="M6" s="90">
        <f>SUM(Table1910[[#This Row],[Intra-school sports 1]:[Intra-school sports 50]])</f>
        <v>0</v>
      </c>
      <c r="N6" s="88">
        <f>SUM(Table1910[[#This Row],[Inter School sports 1]:[Inter School sports 50]])</f>
        <v>0</v>
      </c>
      <c r="O6" s="17">
        <f>COUNTIF(Table1910[[#This Row],[Community club (type name of club(s). All clubs will count as ''1'']],"*")</f>
        <v>0</v>
      </c>
      <c r="P6" s="17">
        <f>IF(OR(Table1910[[#This Row],[Total Challenges]]&gt;0,Table1910[[#This Row],[Total Ex-C Clubs]]&gt;0,Table1910[[#This Row],[Total Intra-School Sports]]&gt;0,Table1910[[#This Row],[Total Inter-School Sports]]&gt;0,Table1910[[#This Row],[Community Clubs]]&gt;0),1,0)</f>
        <v>1</v>
      </c>
      <c r="Q6" s="22">
        <v>1</v>
      </c>
      <c r="R6" s="22"/>
      <c r="S6" s="22"/>
      <c r="T6" s="22"/>
      <c r="U6" s="22"/>
      <c r="V6" s="22"/>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row>
    <row r="7" spans="1:218" x14ac:dyDescent="0.25">
      <c r="A7" s="22" t="s">
        <v>61</v>
      </c>
      <c r="B7" s="22" t="s">
        <v>61</v>
      </c>
      <c r="C7" s="22" t="s">
        <v>59</v>
      </c>
      <c r="D7" s="22"/>
      <c r="E7" s="22">
        <v>0</v>
      </c>
      <c r="F7" s="22">
        <v>0</v>
      </c>
      <c r="G7" s="22">
        <v>0</v>
      </c>
      <c r="H7" s="22">
        <v>1</v>
      </c>
      <c r="I7" s="22">
        <v>0</v>
      </c>
      <c r="J7" s="22">
        <v>0</v>
      </c>
      <c r="K7" s="17">
        <f>SUM(Table1910[[#This Row],[Challenge 1]:[Challenge 50]])</f>
        <v>1</v>
      </c>
      <c r="L7" s="88">
        <f>SUM(Table1910[[#This Row],[Club 1]:[Club 50]])</f>
        <v>0</v>
      </c>
      <c r="M7" s="90">
        <f>SUM(Table1910[[#This Row],[Intra-school sports 1]:[Intra-school sports 50]])</f>
        <v>0</v>
      </c>
      <c r="N7" s="88">
        <f>SUM(Table1910[[#This Row],[Inter School sports 1]:[Inter School sports 50]])</f>
        <v>0</v>
      </c>
      <c r="O7" s="17">
        <f>COUNTIF(Table1910[[#This Row],[Community club (type name of club(s). All clubs will count as ''1'']],"*")</f>
        <v>0</v>
      </c>
      <c r="P7" s="17">
        <f>IF(OR(Table1910[[#This Row],[Total Challenges]]&gt;0,Table1910[[#This Row],[Total Ex-C Clubs]]&gt;0,Table1910[[#This Row],[Total Intra-School Sports]]&gt;0,Table1910[[#This Row],[Total Inter-School Sports]]&gt;0,Table1910[[#This Row],[Community Clubs]]&gt;0),1,0)</f>
        <v>1</v>
      </c>
      <c r="Q7" s="22">
        <v>1</v>
      </c>
      <c r="R7" s="22"/>
      <c r="S7" s="22"/>
      <c r="T7" s="22"/>
      <c r="U7" s="22"/>
      <c r="V7" s="22"/>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row>
    <row r="8" spans="1:218" x14ac:dyDescent="0.25">
      <c r="A8" s="22" t="s">
        <v>61</v>
      </c>
      <c r="B8" s="22" t="s">
        <v>61</v>
      </c>
      <c r="C8" s="22" t="s">
        <v>59</v>
      </c>
      <c r="D8" s="22"/>
      <c r="E8" s="22">
        <v>0</v>
      </c>
      <c r="F8" s="22">
        <v>0</v>
      </c>
      <c r="G8" s="22">
        <v>0</v>
      </c>
      <c r="H8" s="22">
        <v>0</v>
      </c>
      <c r="I8" s="22">
        <v>0</v>
      </c>
      <c r="J8" s="22">
        <v>1</v>
      </c>
      <c r="K8" s="17">
        <f>SUM(Table1910[[#This Row],[Challenge 1]:[Challenge 50]])</f>
        <v>0</v>
      </c>
      <c r="L8" s="88">
        <f>SUM(Table1910[[#This Row],[Club 1]:[Club 50]])</f>
        <v>0</v>
      </c>
      <c r="M8" s="90">
        <f>SUM(Table1910[[#This Row],[Intra-school sports 1]:[Intra-school sports 50]])</f>
        <v>0</v>
      </c>
      <c r="N8" s="88">
        <f>SUM(Table1910[[#This Row],[Inter School sports 1]:[Inter School sports 50]])</f>
        <v>0</v>
      </c>
      <c r="O8" s="17">
        <f>COUNTIF(Table1910[[#This Row],[Community club (type name of club(s). All clubs will count as ''1'']],"*")</f>
        <v>0</v>
      </c>
      <c r="P8" s="17">
        <f>IF(OR(Table1910[[#This Row],[Total Challenges]]&gt;0,Table1910[[#This Row],[Total Ex-C Clubs]]&gt;0,Table1910[[#This Row],[Total Intra-School Sports]]&gt;0,Table1910[[#This Row],[Total Inter-School Sports]]&gt;0,Table1910[[#This Row],[Community Clubs]]&gt;0),1,0)</f>
        <v>0</v>
      </c>
      <c r="Q8" s="22">
        <v>0</v>
      </c>
      <c r="R8" s="22"/>
      <c r="S8" s="22"/>
      <c r="T8" s="22"/>
      <c r="U8" s="22"/>
      <c r="V8" s="22"/>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21"/>
    </row>
    <row r="9" spans="1:218" x14ac:dyDescent="0.25">
      <c r="A9" s="22"/>
      <c r="B9" s="22"/>
      <c r="C9" s="22"/>
      <c r="D9" s="22"/>
      <c r="E9" s="22"/>
      <c r="F9" s="22"/>
      <c r="G9" s="22"/>
      <c r="H9" s="22"/>
      <c r="I9" s="22"/>
      <c r="J9" s="22"/>
      <c r="K9" s="17">
        <f>SUM(Table1910[[#This Row],[Challenge 1]:[Challenge 50]])</f>
        <v>0</v>
      </c>
      <c r="L9" s="88">
        <f>SUM(Table1910[[#This Row],[Club 1]:[Club 50]])</f>
        <v>0</v>
      </c>
      <c r="M9" s="90">
        <f>SUM(Table1910[[#This Row],[Intra-school sports 1]:[Intra-school sports 50]])</f>
        <v>0</v>
      </c>
      <c r="N9" s="88">
        <f>SUM(Table1910[[#This Row],[Inter School sports 1]:[Inter School sports 50]])</f>
        <v>0</v>
      </c>
      <c r="O9" s="17">
        <f>COUNTIF(Table1910[[#This Row],[Community club (type name of club(s). All clubs will count as ''1'']],"*")</f>
        <v>0</v>
      </c>
      <c r="P9" s="17">
        <f>IF(OR(Table1910[[#This Row],[Total Challenges]]&gt;0,Table1910[[#This Row],[Total Ex-C Clubs]]&gt;0,Table1910[[#This Row],[Total Intra-School Sports]]&gt;0,Table1910[[#This Row],[Total Inter-School Sports]]&gt;0,Table1910[[#This Row],[Community Clubs]]&gt;0),1,0)</f>
        <v>0</v>
      </c>
      <c r="Q9" s="22"/>
      <c r="R9" s="22"/>
      <c r="S9" s="22"/>
      <c r="T9" s="22"/>
      <c r="U9" s="22"/>
      <c r="V9" s="22"/>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21"/>
    </row>
    <row r="10" spans="1:218" x14ac:dyDescent="0.25">
      <c r="A10" s="22"/>
      <c r="B10" s="22"/>
      <c r="C10" s="22"/>
      <c r="D10" s="22"/>
      <c r="E10" s="22"/>
      <c r="F10" s="22"/>
      <c r="G10" s="22"/>
      <c r="H10" s="22"/>
      <c r="I10" s="22"/>
      <c r="J10" s="22"/>
      <c r="K10" s="17">
        <f>SUM(Table1910[[#This Row],[Challenge 1]:[Challenge 50]])</f>
        <v>0</v>
      </c>
      <c r="L10" s="88">
        <f>SUM(Table1910[[#This Row],[Club 1]:[Club 50]])</f>
        <v>0</v>
      </c>
      <c r="M10" s="90">
        <f>SUM(Table1910[[#This Row],[Intra-school sports 1]:[Intra-school sports 50]])</f>
        <v>0</v>
      </c>
      <c r="N10" s="88">
        <f>SUM(Table1910[[#This Row],[Inter School sports 1]:[Inter School sports 50]])</f>
        <v>0</v>
      </c>
      <c r="O10" s="17">
        <f>COUNTIF(Table1910[[#This Row],[Community club (type name of club(s). All clubs will count as ''1'']],"*")</f>
        <v>0</v>
      </c>
      <c r="P10" s="17">
        <f>IF(OR(Table1910[[#This Row],[Total Challenges]]&gt;0,Table1910[[#This Row],[Total Ex-C Clubs]]&gt;0,Table1910[[#This Row],[Total Intra-School Sports]]&gt;0,Table1910[[#This Row],[Total Inter-School Sports]]&gt;0,Table1910[[#This Row],[Community Clubs]]&gt;0),1,0)</f>
        <v>0</v>
      </c>
      <c r="Q10" s="22"/>
      <c r="R10" s="22"/>
      <c r="S10" s="22"/>
      <c r="T10" s="22"/>
      <c r="U10" s="22"/>
      <c r="V10" s="22"/>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21"/>
    </row>
    <row r="11" spans="1:218" x14ac:dyDescent="0.25">
      <c r="A11" s="22"/>
      <c r="B11" s="22"/>
      <c r="C11" s="22"/>
      <c r="D11" s="22"/>
      <c r="E11" s="22"/>
      <c r="F11" s="22"/>
      <c r="G11" s="22"/>
      <c r="H11" s="22"/>
      <c r="I11" s="22"/>
      <c r="J11" s="22"/>
      <c r="K11" s="17">
        <f>SUM(Table1910[[#This Row],[Challenge 1]:[Challenge 50]])</f>
        <v>0</v>
      </c>
      <c r="L11" s="88">
        <f>SUM(Table1910[[#This Row],[Club 1]:[Club 50]])</f>
        <v>0</v>
      </c>
      <c r="M11" s="90">
        <f>SUM(Table1910[[#This Row],[Intra-school sports 1]:[Intra-school sports 50]])</f>
        <v>0</v>
      </c>
      <c r="N11" s="88">
        <f>SUM(Table1910[[#This Row],[Inter School sports 1]:[Inter School sports 50]])</f>
        <v>0</v>
      </c>
      <c r="O11" s="17">
        <f>COUNTIF(Table1910[[#This Row],[Community club (type name of club(s). All clubs will count as ''1'']],"*")</f>
        <v>0</v>
      </c>
      <c r="P11" s="17">
        <f>IF(OR(Table1910[[#This Row],[Total Challenges]]&gt;0,Table1910[[#This Row],[Total Ex-C Clubs]]&gt;0,Table1910[[#This Row],[Total Intra-School Sports]]&gt;0,Table1910[[#This Row],[Total Inter-School Sports]]&gt;0,Table1910[[#This Row],[Community Clubs]]&gt;0),1,0)</f>
        <v>0</v>
      </c>
      <c r="Q11" s="22"/>
      <c r="R11" s="22"/>
      <c r="S11" s="22"/>
      <c r="T11" s="22"/>
      <c r="U11" s="22"/>
      <c r="V11" s="22"/>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21"/>
    </row>
    <row r="12" spans="1:218" x14ac:dyDescent="0.25">
      <c r="A12" s="22"/>
      <c r="B12" s="22"/>
      <c r="C12" s="22"/>
      <c r="D12" s="22"/>
      <c r="E12" s="22"/>
      <c r="F12" s="22"/>
      <c r="G12" s="22"/>
      <c r="H12" s="22"/>
      <c r="I12" s="22"/>
      <c r="J12" s="22"/>
      <c r="K12" s="17">
        <f>SUM(Table1910[[#This Row],[Challenge 1]:[Challenge 50]])</f>
        <v>0</v>
      </c>
      <c r="L12" s="88">
        <f>SUM(Table1910[[#This Row],[Club 1]:[Club 50]])</f>
        <v>0</v>
      </c>
      <c r="M12" s="90">
        <f>SUM(Table1910[[#This Row],[Intra-school sports 1]:[Intra-school sports 50]])</f>
        <v>0</v>
      </c>
      <c r="N12" s="88">
        <f>SUM(Table1910[[#This Row],[Inter School sports 1]:[Inter School sports 50]])</f>
        <v>0</v>
      </c>
      <c r="O12" s="17">
        <f>COUNTIF(Table1910[[#This Row],[Community club (type name of club(s). All clubs will count as ''1'']],"*")</f>
        <v>0</v>
      </c>
      <c r="P12" s="17">
        <f>IF(OR(Table1910[[#This Row],[Total Challenges]]&gt;0,Table1910[[#This Row],[Total Ex-C Clubs]]&gt;0,Table1910[[#This Row],[Total Intra-School Sports]]&gt;0,Table1910[[#This Row],[Total Inter-School Sports]]&gt;0,Table1910[[#This Row],[Community Clubs]]&gt;0),1,0)</f>
        <v>0</v>
      </c>
      <c r="Q12" s="22"/>
      <c r="R12" s="22"/>
      <c r="S12" s="22"/>
      <c r="T12" s="22"/>
      <c r="U12" s="22"/>
      <c r="V12" s="22"/>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21"/>
    </row>
    <row r="13" spans="1:218" x14ac:dyDescent="0.25">
      <c r="A13" s="22"/>
      <c r="B13" s="22"/>
      <c r="C13" s="22"/>
      <c r="D13" s="22"/>
      <c r="E13" s="22"/>
      <c r="F13" s="22"/>
      <c r="G13" s="22"/>
      <c r="H13" s="22"/>
      <c r="I13" s="22"/>
      <c r="J13" s="22"/>
      <c r="K13" s="17">
        <f>SUM(Table1910[[#This Row],[Challenge 1]:[Challenge 50]])</f>
        <v>0</v>
      </c>
      <c r="L13" s="88">
        <f>SUM(Table1910[[#This Row],[Club 1]:[Club 50]])</f>
        <v>0</v>
      </c>
      <c r="M13" s="90">
        <f>SUM(Table1910[[#This Row],[Intra-school sports 1]:[Intra-school sports 50]])</f>
        <v>0</v>
      </c>
      <c r="N13" s="88">
        <f>SUM(Table1910[[#This Row],[Inter School sports 1]:[Inter School sports 50]])</f>
        <v>0</v>
      </c>
      <c r="O13" s="17">
        <f>COUNTIF(Table1910[[#This Row],[Community club (type name of club(s). All clubs will count as ''1'']],"*")</f>
        <v>0</v>
      </c>
      <c r="P13" s="17">
        <f>IF(OR(Table1910[[#This Row],[Total Challenges]]&gt;0,Table1910[[#This Row],[Total Ex-C Clubs]]&gt;0,Table1910[[#This Row],[Total Intra-School Sports]]&gt;0,Table1910[[#This Row],[Total Inter-School Sports]]&gt;0,Table1910[[#This Row],[Community Clubs]]&gt;0),1,0)</f>
        <v>0</v>
      </c>
      <c r="Q13" s="22"/>
      <c r="R13" s="22"/>
      <c r="S13" s="22"/>
      <c r="T13" s="22"/>
      <c r="U13" s="22"/>
      <c r="V13" s="22"/>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21"/>
    </row>
    <row r="14" spans="1:218" x14ac:dyDescent="0.25">
      <c r="A14" s="22"/>
      <c r="B14" s="22"/>
      <c r="C14" s="22"/>
      <c r="D14" s="22"/>
      <c r="E14" s="22"/>
      <c r="F14" s="22"/>
      <c r="G14" s="22"/>
      <c r="H14" s="22"/>
      <c r="I14" s="22"/>
      <c r="J14" s="22"/>
      <c r="K14" s="17">
        <f>SUM(Table1910[[#This Row],[Challenge 1]:[Challenge 50]])</f>
        <v>0</v>
      </c>
      <c r="L14" s="88">
        <f>SUM(Table1910[[#This Row],[Club 1]:[Club 50]])</f>
        <v>0</v>
      </c>
      <c r="M14" s="90">
        <f>SUM(Table1910[[#This Row],[Intra-school sports 1]:[Intra-school sports 50]])</f>
        <v>0</v>
      </c>
      <c r="N14" s="88">
        <f>SUM(Table1910[[#This Row],[Inter School sports 1]:[Inter School sports 50]])</f>
        <v>0</v>
      </c>
      <c r="O14" s="17">
        <f>COUNTIF(Table1910[[#This Row],[Community club (type name of club(s). All clubs will count as ''1'']],"*")</f>
        <v>0</v>
      </c>
      <c r="P14" s="17">
        <f>IF(OR(Table1910[[#This Row],[Total Challenges]]&gt;0,Table1910[[#This Row],[Total Ex-C Clubs]]&gt;0,Table1910[[#This Row],[Total Intra-School Sports]]&gt;0,Table1910[[#This Row],[Total Inter-School Sports]]&gt;0,Table1910[[#This Row],[Community Clubs]]&gt;0),1,0)</f>
        <v>0</v>
      </c>
      <c r="Q14" s="22"/>
      <c r="R14" s="22"/>
      <c r="S14" s="22"/>
      <c r="T14" s="22"/>
      <c r="U14" s="22"/>
      <c r="V14" s="22"/>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21"/>
    </row>
    <row r="15" spans="1:218" x14ac:dyDescent="0.25">
      <c r="A15" s="22"/>
      <c r="B15" s="22"/>
      <c r="C15" s="22"/>
      <c r="D15" s="22"/>
      <c r="E15" s="22"/>
      <c r="F15" s="22"/>
      <c r="G15" s="22"/>
      <c r="H15" s="22"/>
      <c r="I15" s="22"/>
      <c r="J15" s="22"/>
      <c r="K15" s="17">
        <f>SUM(Table1910[[#This Row],[Challenge 1]:[Challenge 50]])</f>
        <v>0</v>
      </c>
      <c r="L15" s="88">
        <f>SUM(Table1910[[#This Row],[Club 1]:[Club 50]])</f>
        <v>0</v>
      </c>
      <c r="M15" s="90">
        <f>SUM(Table1910[[#This Row],[Intra-school sports 1]:[Intra-school sports 50]])</f>
        <v>0</v>
      </c>
      <c r="N15" s="88">
        <f>SUM(Table1910[[#This Row],[Inter School sports 1]:[Inter School sports 50]])</f>
        <v>0</v>
      </c>
      <c r="O15" s="17">
        <f>COUNTIF(Table1910[[#This Row],[Community club (type name of club(s). All clubs will count as ''1'']],"*")</f>
        <v>0</v>
      </c>
      <c r="P15" s="17">
        <f>IF(OR(Table1910[[#This Row],[Total Challenges]]&gt;0,Table1910[[#This Row],[Total Ex-C Clubs]]&gt;0,Table1910[[#This Row],[Total Intra-School Sports]]&gt;0,Table1910[[#This Row],[Total Inter-School Sports]]&gt;0,Table1910[[#This Row],[Community Clubs]]&gt;0),1,0)</f>
        <v>0</v>
      </c>
      <c r="Q15" s="22"/>
      <c r="R15" s="22"/>
      <c r="S15" s="22"/>
      <c r="T15" s="22"/>
      <c r="U15" s="22"/>
      <c r="V15" s="22"/>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21"/>
    </row>
    <row r="16" spans="1:218" x14ac:dyDescent="0.25">
      <c r="A16" s="22"/>
      <c r="B16" s="22"/>
      <c r="C16" s="22"/>
      <c r="D16" s="22"/>
      <c r="E16" s="22"/>
      <c r="F16" s="22"/>
      <c r="G16" s="22"/>
      <c r="H16" s="22"/>
      <c r="I16" s="22"/>
      <c r="J16" s="22"/>
      <c r="K16" s="17">
        <f>SUM(Table1910[[#This Row],[Challenge 1]:[Challenge 50]])</f>
        <v>0</v>
      </c>
      <c r="L16" s="88">
        <f>SUM(Table1910[[#This Row],[Club 1]:[Club 50]])</f>
        <v>0</v>
      </c>
      <c r="M16" s="90">
        <f>SUM(Table1910[[#This Row],[Intra-school sports 1]:[Intra-school sports 50]])</f>
        <v>0</v>
      </c>
      <c r="N16" s="88">
        <f>SUM(Table1910[[#This Row],[Inter School sports 1]:[Inter School sports 50]])</f>
        <v>0</v>
      </c>
      <c r="O16" s="17">
        <f>COUNTIF(Table1910[[#This Row],[Community club (type name of club(s). All clubs will count as ''1'']],"*")</f>
        <v>0</v>
      </c>
      <c r="P16" s="17">
        <f>IF(OR(Table1910[[#This Row],[Total Challenges]]&gt;0,Table1910[[#This Row],[Total Ex-C Clubs]]&gt;0,Table1910[[#This Row],[Total Intra-School Sports]]&gt;0,Table1910[[#This Row],[Total Inter-School Sports]]&gt;0,Table1910[[#This Row],[Community Clubs]]&gt;0),1,0)</f>
        <v>0</v>
      </c>
      <c r="Q16" s="22"/>
      <c r="R16" s="22"/>
      <c r="S16" s="22"/>
      <c r="T16" s="22"/>
      <c r="U16" s="22"/>
      <c r="V16" s="22"/>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21"/>
    </row>
    <row r="17" spans="1:218" x14ac:dyDescent="0.25">
      <c r="A17" s="22"/>
      <c r="B17" s="22"/>
      <c r="C17" s="22"/>
      <c r="D17" s="22"/>
      <c r="E17" s="22"/>
      <c r="F17" s="22"/>
      <c r="G17" s="22"/>
      <c r="H17" s="22"/>
      <c r="I17" s="22"/>
      <c r="J17" s="22"/>
      <c r="K17" s="17">
        <f>SUM(Table1910[[#This Row],[Challenge 1]:[Challenge 50]])</f>
        <v>0</v>
      </c>
      <c r="L17" s="88">
        <f>SUM(Table1910[[#This Row],[Club 1]:[Club 50]])</f>
        <v>0</v>
      </c>
      <c r="M17" s="90">
        <f>SUM(Table1910[[#This Row],[Intra-school sports 1]:[Intra-school sports 50]])</f>
        <v>0</v>
      </c>
      <c r="N17" s="88">
        <f>SUM(Table1910[[#This Row],[Inter School sports 1]:[Inter School sports 50]])</f>
        <v>0</v>
      </c>
      <c r="O17" s="17">
        <f>COUNTIF(Table1910[[#This Row],[Community club (type name of club(s). All clubs will count as ''1'']],"*")</f>
        <v>0</v>
      </c>
      <c r="P17" s="17">
        <f>IF(OR(Table1910[[#This Row],[Total Challenges]]&gt;0,Table1910[[#This Row],[Total Ex-C Clubs]]&gt;0,Table1910[[#This Row],[Total Intra-School Sports]]&gt;0,Table1910[[#This Row],[Total Inter-School Sports]]&gt;0,Table1910[[#This Row],[Community Clubs]]&gt;0),1,0)</f>
        <v>0</v>
      </c>
      <c r="Q17" s="22"/>
      <c r="R17" s="22"/>
      <c r="S17" s="22"/>
      <c r="T17" s="22"/>
      <c r="U17" s="22"/>
      <c r="V17" s="22"/>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21"/>
    </row>
    <row r="18" spans="1:218" x14ac:dyDescent="0.25">
      <c r="A18" s="22"/>
      <c r="B18" s="22"/>
      <c r="C18" s="22"/>
      <c r="D18" s="22"/>
      <c r="E18" s="22"/>
      <c r="F18" s="22"/>
      <c r="G18" s="22"/>
      <c r="H18" s="22"/>
      <c r="I18" s="22"/>
      <c r="J18" s="22"/>
      <c r="K18" s="17">
        <f>SUM(Table1910[[#This Row],[Challenge 1]:[Challenge 50]])</f>
        <v>0</v>
      </c>
      <c r="L18" s="88">
        <f>SUM(Table1910[[#This Row],[Club 1]:[Club 50]])</f>
        <v>0</v>
      </c>
      <c r="M18" s="90">
        <f>SUM(Table1910[[#This Row],[Intra-school sports 1]:[Intra-school sports 50]])</f>
        <v>0</v>
      </c>
      <c r="N18" s="88">
        <f>SUM(Table1910[[#This Row],[Inter School sports 1]:[Inter School sports 50]])</f>
        <v>0</v>
      </c>
      <c r="O18" s="17">
        <f>COUNTIF(Table1910[[#This Row],[Community club (type name of club(s). All clubs will count as ''1'']],"*")</f>
        <v>0</v>
      </c>
      <c r="P18" s="17">
        <f>IF(OR(Table1910[[#This Row],[Total Challenges]]&gt;0,Table1910[[#This Row],[Total Ex-C Clubs]]&gt;0,Table1910[[#This Row],[Total Intra-School Sports]]&gt;0,Table1910[[#This Row],[Total Inter-School Sports]]&gt;0,Table1910[[#This Row],[Community Clubs]]&gt;0),1,0)</f>
        <v>0</v>
      </c>
      <c r="Q18" s="22"/>
      <c r="R18" s="22"/>
      <c r="S18" s="22"/>
      <c r="T18" s="22"/>
      <c r="U18" s="22"/>
      <c r="V18" s="22"/>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21"/>
    </row>
    <row r="19" spans="1:218" x14ac:dyDescent="0.25">
      <c r="A19" s="22"/>
      <c r="B19" s="22"/>
      <c r="C19" s="22"/>
      <c r="D19" s="22"/>
      <c r="E19" s="22"/>
      <c r="F19" s="22"/>
      <c r="G19" s="22"/>
      <c r="H19" s="22"/>
      <c r="I19" s="22"/>
      <c r="J19" s="22"/>
      <c r="K19" s="17">
        <f>SUM(Table1910[[#This Row],[Challenge 1]:[Challenge 50]])</f>
        <v>0</v>
      </c>
      <c r="L19" s="88">
        <f>SUM(Table1910[[#This Row],[Club 1]:[Club 50]])</f>
        <v>0</v>
      </c>
      <c r="M19" s="90">
        <f>SUM(Table1910[[#This Row],[Intra-school sports 1]:[Intra-school sports 50]])</f>
        <v>0</v>
      </c>
      <c r="N19" s="88">
        <f>SUM(Table1910[[#This Row],[Inter School sports 1]:[Inter School sports 50]])</f>
        <v>0</v>
      </c>
      <c r="O19" s="17">
        <f>COUNTIF(Table1910[[#This Row],[Community club (type name of club(s). All clubs will count as ''1'']],"*")</f>
        <v>0</v>
      </c>
      <c r="P19" s="17">
        <f>IF(OR(Table1910[[#This Row],[Total Challenges]]&gt;0,Table1910[[#This Row],[Total Ex-C Clubs]]&gt;0,Table1910[[#This Row],[Total Intra-School Sports]]&gt;0,Table1910[[#This Row],[Total Inter-School Sports]]&gt;0,Table1910[[#This Row],[Community Clubs]]&gt;0),1,0)</f>
        <v>0</v>
      </c>
      <c r="Q19" s="22"/>
      <c r="R19" s="22"/>
      <c r="S19" s="22"/>
      <c r="T19" s="22"/>
      <c r="U19" s="22"/>
      <c r="V19" s="22"/>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21"/>
    </row>
    <row r="20" spans="1:218" x14ac:dyDescent="0.25">
      <c r="A20" s="22"/>
      <c r="B20" s="22"/>
      <c r="C20" s="22"/>
      <c r="D20" s="22"/>
      <c r="E20" s="22"/>
      <c r="F20" s="22"/>
      <c r="G20" s="22"/>
      <c r="H20" s="22"/>
      <c r="I20" s="22"/>
      <c r="J20" s="22"/>
      <c r="K20" s="17">
        <f>SUM(Table1910[[#This Row],[Challenge 1]:[Challenge 50]])</f>
        <v>0</v>
      </c>
      <c r="L20" s="88">
        <f>SUM(Table1910[[#This Row],[Club 1]:[Club 50]])</f>
        <v>0</v>
      </c>
      <c r="M20" s="90">
        <f>SUM(Table1910[[#This Row],[Intra-school sports 1]:[Intra-school sports 50]])</f>
        <v>0</v>
      </c>
      <c r="N20" s="88">
        <f>SUM(Table1910[[#This Row],[Inter School sports 1]:[Inter School sports 50]])</f>
        <v>0</v>
      </c>
      <c r="O20" s="17">
        <f>COUNTIF(Table1910[[#This Row],[Community club (type name of club(s). All clubs will count as ''1'']],"*")</f>
        <v>0</v>
      </c>
      <c r="P20" s="17">
        <f>IF(OR(Table1910[[#This Row],[Total Challenges]]&gt;0,Table1910[[#This Row],[Total Ex-C Clubs]]&gt;0,Table1910[[#This Row],[Total Intra-School Sports]]&gt;0,Table1910[[#This Row],[Total Inter-School Sports]]&gt;0,Table1910[[#This Row],[Community Clubs]]&gt;0),1,0)</f>
        <v>0</v>
      </c>
      <c r="Q20" s="22"/>
      <c r="R20" s="22"/>
      <c r="S20" s="22"/>
      <c r="T20" s="22"/>
      <c r="U20" s="22"/>
      <c r="V20" s="22"/>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21"/>
    </row>
    <row r="21" spans="1:218" x14ac:dyDescent="0.25">
      <c r="A21" s="22"/>
      <c r="B21" s="22"/>
      <c r="C21" s="22"/>
      <c r="D21" s="22"/>
      <c r="E21" s="22"/>
      <c r="F21" s="22"/>
      <c r="G21" s="22"/>
      <c r="H21" s="22"/>
      <c r="I21" s="22"/>
      <c r="J21" s="22"/>
      <c r="K21" s="17">
        <f>SUM(Table1910[[#This Row],[Challenge 1]:[Challenge 50]])</f>
        <v>0</v>
      </c>
      <c r="L21" s="88">
        <f>SUM(Table1910[[#This Row],[Club 1]:[Club 50]])</f>
        <v>0</v>
      </c>
      <c r="M21" s="90">
        <f>SUM(Table1910[[#This Row],[Intra-school sports 1]:[Intra-school sports 50]])</f>
        <v>0</v>
      </c>
      <c r="N21" s="88">
        <f>SUM(Table1910[[#This Row],[Inter School sports 1]:[Inter School sports 50]])</f>
        <v>0</v>
      </c>
      <c r="O21" s="17">
        <f>COUNTIF(Table1910[[#This Row],[Community club (type name of club(s). All clubs will count as ''1'']],"*")</f>
        <v>0</v>
      </c>
      <c r="P21" s="17">
        <f>IF(OR(Table1910[[#This Row],[Total Challenges]]&gt;0,Table1910[[#This Row],[Total Ex-C Clubs]]&gt;0,Table1910[[#This Row],[Total Intra-School Sports]]&gt;0,Table1910[[#This Row],[Total Inter-School Sports]]&gt;0,Table1910[[#This Row],[Community Clubs]]&gt;0),1,0)</f>
        <v>0</v>
      </c>
      <c r="Q21" s="22"/>
      <c r="R21" s="22"/>
      <c r="S21" s="22"/>
      <c r="T21" s="22"/>
      <c r="U21" s="22"/>
      <c r="V21" s="22"/>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21"/>
    </row>
    <row r="22" spans="1:218" x14ac:dyDescent="0.25">
      <c r="A22" s="22"/>
      <c r="B22" s="22"/>
      <c r="C22" s="22"/>
      <c r="D22" s="22"/>
      <c r="E22" s="22"/>
      <c r="F22" s="22"/>
      <c r="G22" s="22"/>
      <c r="H22" s="22"/>
      <c r="I22" s="22"/>
      <c r="J22" s="22"/>
      <c r="K22" s="17">
        <f>SUM(Table1910[[#This Row],[Challenge 1]:[Challenge 50]])</f>
        <v>0</v>
      </c>
      <c r="L22" s="88">
        <f>SUM(Table1910[[#This Row],[Club 1]:[Club 50]])</f>
        <v>0</v>
      </c>
      <c r="M22" s="90">
        <f>SUM(Table1910[[#This Row],[Intra-school sports 1]:[Intra-school sports 50]])</f>
        <v>0</v>
      </c>
      <c r="N22" s="88">
        <f>SUM(Table1910[[#This Row],[Inter School sports 1]:[Inter School sports 50]])</f>
        <v>0</v>
      </c>
      <c r="O22" s="17">
        <f>COUNTIF(Table1910[[#This Row],[Community club (type name of club(s). All clubs will count as ''1'']],"*")</f>
        <v>0</v>
      </c>
      <c r="P22" s="17">
        <f>IF(OR(Table1910[[#This Row],[Total Challenges]]&gt;0,Table1910[[#This Row],[Total Ex-C Clubs]]&gt;0,Table1910[[#This Row],[Total Intra-School Sports]]&gt;0,Table1910[[#This Row],[Total Inter-School Sports]]&gt;0,Table1910[[#This Row],[Community Clubs]]&gt;0),1,0)</f>
        <v>0</v>
      </c>
      <c r="Q22" s="22"/>
      <c r="R22" s="22"/>
      <c r="S22" s="22"/>
      <c r="T22" s="22"/>
      <c r="U22" s="22"/>
      <c r="V22" s="22"/>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21"/>
    </row>
    <row r="23" spans="1:218" x14ac:dyDescent="0.25">
      <c r="A23" s="22"/>
      <c r="B23" s="22"/>
      <c r="C23" s="22"/>
      <c r="D23" s="22"/>
      <c r="E23" s="22"/>
      <c r="F23" s="22"/>
      <c r="G23" s="22"/>
      <c r="H23" s="22"/>
      <c r="I23" s="22"/>
      <c r="J23" s="22"/>
      <c r="K23" s="17">
        <f>SUM(Table1910[[#This Row],[Challenge 1]:[Challenge 50]])</f>
        <v>0</v>
      </c>
      <c r="L23" s="88">
        <f>SUM(Table1910[[#This Row],[Club 1]:[Club 50]])</f>
        <v>0</v>
      </c>
      <c r="M23" s="90">
        <f>SUM(Table1910[[#This Row],[Intra-school sports 1]:[Intra-school sports 50]])</f>
        <v>0</v>
      </c>
      <c r="N23" s="88">
        <f>SUM(Table1910[[#This Row],[Inter School sports 1]:[Inter School sports 50]])</f>
        <v>0</v>
      </c>
      <c r="O23" s="17">
        <f>COUNTIF(Table1910[[#This Row],[Community club (type name of club(s). All clubs will count as ''1'']],"*")</f>
        <v>0</v>
      </c>
      <c r="P23" s="17">
        <f>IF(OR(Table1910[[#This Row],[Total Challenges]]&gt;0,Table1910[[#This Row],[Total Ex-C Clubs]]&gt;0,Table1910[[#This Row],[Total Intra-School Sports]]&gt;0,Table1910[[#This Row],[Total Inter-School Sports]]&gt;0,Table1910[[#This Row],[Community Clubs]]&gt;0),1,0)</f>
        <v>0</v>
      </c>
      <c r="Q23" s="22"/>
      <c r="R23" s="22"/>
      <c r="S23" s="22"/>
      <c r="T23" s="22"/>
      <c r="U23" s="22"/>
      <c r="V23" s="22"/>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21"/>
    </row>
    <row r="24" spans="1:218" x14ac:dyDescent="0.25">
      <c r="A24" s="22"/>
      <c r="B24" s="22"/>
      <c r="C24" s="22"/>
      <c r="D24" s="22"/>
      <c r="E24" s="22"/>
      <c r="F24" s="22"/>
      <c r="G24" s="22"/>
      <c r="H24" s="22"/>
      <c r="I24" s="22"/>
      <c r="J24" s="22"/>
      <c r="K24" s="17">
        <f>SUM(Table1910[[#This Row],[Challenge 1]:[Challenge 50]])</f>
        <v>0</v>
      </c>
      <c r="L24" s="88">
        <f>SUM(Table1910[[#This Row],[Club 1]:[Club 50]])</f>
        <v>0</v>
      </c>
      <c r="M24" s="90">
        <f>SUM(Table1910[[#This Row],[Intra-school sports 1]:[Intra-school sports 50]])</f>
        <v>0</v>
      </c>
      <c r="N24" s="88">
        <f>SUM(Table1910[[#This Row],[Inter School sports 1]:[Inter School sports 50]])</f>
        <v>0</v>
      </c>
      <c r="O24" s="17">
        <f>COUNTIF(Table1910[[#This Row],[Community club (type name of club(s). All clubs will count as ''1'']],"*")</f>
        <v>0</v>
      </c>
      <c r="P24" s="17">
        <f>IF(OR(Table1910[[#This Row],[Total Challenges]]&gt;0,Table1910[[#This Row],[Total Ex-C Clubs]]&gt;0,Table1910[[#This Row],[Total Intra-School Sports]]&gt;0,Table1910[[#This Row],[Total Inter-School Sports]]&gt;0,Table1910[[#This Row],[Community Clubs]]&gt;0),1,0)</f>
        <v>0</v>
      </c>
      <c r="Q24" s="22"/>
      <c r="R24" s="22"/>
      <c r="S24" s="22"/>
      <c r="T24" s="22"/>
      <c r="U24" s="22"/>
      <c r="V24" s="22"/>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21"/>
    </row>
    <row r="25" spans="1:218" x14ac:dyDescent="0.25">
      <c r="A25" s="22"/>
      <c r="B25" s="22"/>
      <c r="C25" s="22"/>
      <c r="D25" s="22"/>
      <c r="E25" s="22"/>
      <c r="F25" s="22"/>
      <c r="G25" s="22"/>
      <c r="H25" s="22"/>
      <c r="I25" s="22"/>
      <c r="J25" s="22"/>
      <c r="K25" s="17">
        <f>SUM(Table1910[[#This Row],[Challenge 1]:[Challenge 50]])</f>
        <v>0</v>
      </c>
      <c r="L25" s="88">
        <f>SUM(Table1910[[#This Row],[Club 1]:[Club 50]])</f>
        <v>0</v>
      </c>
      <c r="M25" s="90">
        <f>SUM(Table1910[[#This Row],[Intra-school sports 1]:[Intra-school sports 50]])</f>
        <v>0</v>
      </c>
      <c r="N25" s="88">
        <f>SUM(Table1910[[#This Row],[Inter School sports 1]:[Inter School sports 50]])</f>
        <v>0</v>
      </c>
      <c r="O25" s="17">
        <f>COUNTIF(Table1910[[#This Row],[Community club (type name of club(s). All clubs will count as ''1'']],"*")</f>
        <v>0</v>
      </c>
      <c r="P25" s="17">
        <f>IF(OR(Table1910[[#This Row],[Total Challenges]]&gt;0,Table1910[[#This Row],[Total Ex-C Clubs]]&gt;0,Table1910[[#This Row],[Total Intra-School Sports]]&gt;0,Table1910[[#This Row],[Total Inter-School Sports]]&gt;0,Table1910[[#This Row],[Community Clubs]]&gt;0),1,0)</f>
        <v>0</v>
      </c>
      <c r="Q25" s="22"/>
      <c r="R25" s="22"/>
      <c r="S25" s="22"/>
      <c r="T25" s="22"/>
      <c r="U25" s="22"/>
      <c r="V25" s="22"/>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21"/>
    </row>
    <row r="26" spans="1:218" x14ac:dyDescent="0.25">
      <c r="A26" s="22"/>
      <c r="B26" s="22"/>
      <c r="C26" s="22"/>
      <c r="D26" s="22"/>
      <c r="E26" s="22"/>
      <c r="F26" s="22"/>
      <c r="G26" s="22"/>
      <c r="H26" s="22"/>
      <c r="I26" s="22"/>
      <c r="J26" s="22"/>
      <c r="K26" s="17">
        <f>SUM(Table1910[[#This Row],[Challenge 1]:[Challenge 50]])</f>
        <v>0</v>
      </c>
      <c r="L26" s="88">
        <f>SUM(Table1910[[#This Row],[Club 1]:[Club 50]])</f>
        <v>0</v>
      </c>
      <c r="M26" s="90">
        <f>SUM(Table1910[[#This Row],[Intra-school sports 1]:[Intra-school sports 50]])</f>
        <v>0</v>
      </c>
      <c r="N26" s="88">
        <f>SUM(Table1910[[#This Row],[Inter School sports 1]:[Inter School sports 50]])</f>
        <v>0</v>
      </c>
      <c r="O26" s="17">
        <f>COUNTIF(Table1910[[#This Row],[Community club (type name of club(s). All clubs will count as ''1'']],"*")</f>
        <v>0</v>
      </c>
      <c r="P26" s="17">
        <f>IF(OR(Table1910[[#This Row],[Total Challenges]]&gt;0,Table1910[[#This Row],[Total Ex-C Clubs]]&gt;0,Table1910[[#This Row],[Total Intra-School Sports]]&gt;0,Table1910[[#This Row],[Total Inter-School Sports]]&gt;0,Table1910[[#This Row],[Community Clubs]]&gt;0),1,0)</f>
        <v>0</v>
      </c>
      <c r="Q26" s="22"/>
      <c r="R26" s="22"/>
      <c r="S26" s="22"/>
      <c r="T26" s="22"/>
      <c r="U26" s="22"/>
      <c r="V26" s="22"/>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21"/>
    </row>
    <row r="27" spans="1:218" x14ac:dyDescent="0.25">
      <c r="A27" s="22"/>
      <c r="B27" s="22"/>
      <c r="C27" s="22"/>
      <c r="D27" s="22"/>
      <c r="E27" s="22"/>
      <c r="F27" s="22"/>
      <c r="G27" s="22"/>
      <c r="H27" s="22"/>
      <c r="I27" s="22"/>
      <c r="J27" s="22"/>
      <c r="K27" s="17">
        <f>SUM(Table1910[[#This Row],[Challenge 1]:[Challenge 50]])</f>
        <v>0</v>
      </c>
      <c r="L27" s="88">
        <f>SUM(Table1910[[#This Row],[Club 1]:[Club 50]])</f>
        <v>0</v>
      </c>
      <c r="M27" s="90">
        <f>SUM(Table1910[[#This Row],[Intra-school sports 1]:[Intra-school sports 50]])</f>
        <v>0</v>
      </c>
      <c r="N27" s="88">
        <f>SUM(Table1910[[#This Row],[Inter School sports 1]:[Inter School sports 50]])</f>
        <v>0</v>
      </c>
      <c r="O27" s="17">
        <f>COUNTIF(Table1910[[#This Row],[Community club (type name of club(s). All clubs will count as ''1'']],"*")</f>
        <v>0</v>
      </c>
      <c r="P27" s="17">
        <f>IF(OR(Table1910[[#This Row],[Total Challenges]]&gt;0,Table1910[[#This Row],[Total Ex-C Clubs]]&gt;0,Table1910[[#This Row],[Total Intra-School Sports]]&gt;0,Table1910[[#This Row],[Total Inter-School Sports]]&gt;0,Table1910[[#This Row],[Community Clubs]]&gt;0),1,0)</f>
        <v>0</v>
      </c>
      <c r="Q27" s="22"/>
      <c r="R27" s="22"/>
      <c r="S27" s="22"/>
      <c r="T27" s="22"/>
      <c r="U27" s="22"/>
      <c r="V27" s="22"/>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21"/>
    </row>
    <row r="28" spans="1:218" x14ac:dyDescent="0.25">
      <c r="A28" s="22"/>
      <c r="B28" s="22"/>
      <c r="C28" s="22"/>
      <c r="D28" s="22"/>
      <c r="E28" s="22"/>
      <c r="F28" s="22"/>
      <c r="G28" s="22"/>
      <c r="H28" s="22"/>
      <c r="I28" s="22"/>
      <c r="J28" s="22"/>
      <c r="K28" s="17">
        <f>SUM(Table1910[[#This Row],[Challenge 1]:[Challenge 50]])</f>
        <v>0</v>
      </c>
      <c r="L28" s="88">
        <f>SUM(Table1910[[#This Row],[Club 1]:[Club 50]])</f>
        <v>0</v>
      </c>
      <c r="M28" s="90">
        <f>SUM(Table1910[[#This Row],[Intra-school sports 1]:[Intra-school sports 50]])</f>
        <v>0</v>
      </c>
      <c r="N28" s="88">
        <f>SUM(Table1910[[#This Row],[Inter School sports 1]:[Inter School sports 50]])</f>
        <v>0</v>
      </c>
      <c r="O28" s="17">
        <f>COUNTIF(Table1910[[#This Row],[Community club (type name of club(s). All clubs will count as ''1'']],"*")</f>
        <v>0</v>
      </c>
      <c r="P28" s="17">
        <f>IF(OR(Table1910[[#This Row],[Total Challenges]]&gt;0,Table1910[[#This Row],[Total Ex-C Clubs]]&gt;0,Table1910[[#This Row],[Total Intra-School Sports]]&gt;0,Table1910[[#This Row],[Total Inter-School Sports]]&gt;0,Table1910[[#This Row],[Community Clubs]]&gt;0),1,0)</f>
        <v>0</v>
      </c>
      <c r="Q28" s="22"/>
      <c r="R28" s="22"/>
      <c r="S28" s="22"/>
      <c r="T28" s="22"/>
      <c r="U28" s="22"/>
      <c r="V28" s="22"/>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21"/>
    </row>
    <row r="29" spans="1:218" x14ac:dyDescent="0.25">
      <c r="A29" s="22"/>
      <c r="B29" s="22"/>
      <c r="C29" s="22"/>
      <c r="D29" s="22"/>
      <c r="E29" s="22"/>
      <c r="F29" s="22"/>
      <c r="G29" s="22"/>
      <c r="H29" s="22"/>
      <c r="I29" s="22"/>
      <c r="J29" s="22"/>
      <c r="K29" s="17">
        <f>SUM(Table1910[[#This Row],[Challenge 1]:[Challenge 50]])</f>
        <v>0</v>
      </c>
      <c r="L29" s="88">
        <f>SUM(Table1910[[#This Row],[Club 1]:[Club 50]])</f>
        <v>0</v>
      </c>
      <c r="M29" s="90">
        <f>SUM(Table1910[[#This Row],[Intra-school sports 1]:[Intra-school sports 50]])</f>
        <v>0</v>
      </c>
      <c r="N29" s="88">
        <f>SUM(Table1910[[#This Row],[Inter School sports 1]:[Inter School sports 50]])</f>
        <v>0</v>
      </c>
      <c r="O29" s="17">
        <f>COUNTIF(Table1910[[#This Row],[Community club (type name of club(s). All clubs will count as ''1'']],"*")</f>
        <v>0</v>
      </c>
      <c r="P29" s="17">
        <f>IF(OR(Table1910[[#This Row],[Total Challenges]]&gt;0,Table1910[[#This Row],[Total Ex-C Clubs]]&gt;0,Table1910[[#This Row],[Total Intra-School Sports]]&gt;0,Table1910[[#This Row],[Total Inter-School Sports]]&gt;0,Table1910[[#This Row],[Community Clubs]]&gt;0),1,0)</f>
        <v>0</v>
      </c>
      <c r="Q29" s="22"/>
      <c r="R29" s="22"/>
      <c r="S29" s="22"/>
      <c r="T29" s="22"/>
      <c r="U29" s="22"/>
      <c r="V29" s="22"/>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21"/>
    </row>
    <row r="30" spans="1:218" x14ac:dyDescent="0.25">
      <c r="A30" s="22"/>
      <c r="B30" s="22"/>
      <c r="C30" s="22"/>
      <c r="D30" s="22"/>
      <c r="E30" s="22"/>
      <c r="F30" s="22"/>
      <c r="G30" s="22"/>
      <c r="H30" s="22"/>
      <c r="I30" s="22"/>
      <c r="J30" s="22"/>
      <c r="K30" s="17">
        <f>SUM(Table1910[[#This Row],[Challenge 1]:[Challenge 50]])</f>
        <v>0</v>
      </c>
      <c r="L30" s="88">
        <f>SUM(Table1910[[#This Row],[Club 1]:[Club 50]])</f>
        <v>0</v>
      </c>
      <c r="M30" s="90">
        <f>SUM(Table1910[[#This Row],[Intra-school sports 1]:[Intra-school sports 50]])</f>
        <v>0</v>
      </c>
      <c r="N30" s="88">
        <f>SUM(Table1910[[#This Row],[Inter School sports 1]:[Inter School sports 50]])</f>
        <v>0</v>
      </c>
      <c r="O30" s="17">
        <f>COUNTIF(Table1910[[#This Row],[Community club (type name of club(s). All clubs will count as ''1'']],"*")</f>
        <v>0</v>
      </c>
      <c r="P30" s="17">
        <f>IF(OR(Table1910[[#This Row],[Total Challenges]]&gt;0,Table1910[[#This Row],[Total Ex-C Clubs]]&gt;0,Table1910[[#This Row],[Total Intra-School Sports]]&gt;0,Table1910[[#This Row],[Total Inter-School Sports]]&gt;0,Table1910[[#This Row],[Community Clubs]]&gt;0),1,0)</f>
        <v>0</v>
      </c>
      <c r="Q30" s="22"/>
      <c r="R30" s="22"/>
      <c r="S30" s="22"/>
      <c r="T30" s="22"/>
      <c r="U30" s="22"/>
      <c r="V30" s="22"/>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21"/>
    </row>
    <row r="31" spans="1:218" x14ac:dyDescent="0.25">
      <c r="A31" s="22"/>
      <c r="B31" s="22"/>
      <c r="C31" s="22"/>
      <c r="D31" s="22"/>
      <c r="E31" s="22"/>
      <c r="F31" s="22"/>
      <c r="G31" s="22"/>
      <c r="H31" s="22"/>
      <c r="I31" s="22"/>
      <c r="J31" s="22"/>
      <c r="K31" s="17">
        <f>SUM(Table1910[[#This Row],[Challenge 1]:[Challenge 50]])</f>
        <v>0</v>
      </c>
      <c r="L31" s="88">
        <f>SUM(Table1910[[#This Row],[Club 1]:[Club 50]])</f>
        <v>0</v>
      </c>
      <c r="M31" s="90">
        <f>SUM(Table1910[[#This Row],[Intra-school sports 1]:[Intra-school sports 50]])</f>
        <v>0</v>
      </c>
      <c r="N31" s="88">
        <f>SUM(Table1910[[#This Row],[Inter School sports 1]:[Inter School sports 50]])</f>
        <v>0</v>
      </c>
      <c r="O31" s="17">
        <f>COUNTIF(Table1910[[#This Row],[Community club (type name of club(s). All clubs will count as ''1'']],"*")</f>
        <v>0</v>
      </c>
      <c r="P31" s="17">
        <f>IF(OR(Table1910[[#This Row],[Total Challenges]]&gt;0,Table1910[[#This Row],[Total Ex-C Clubs]]&gt;0,Table1910[[#This Row],[Total Intra-School Sports]]&gt;0,Table1910[[#This Row],[Total Inter-School Sports]]&gt;0,Table1910[[#This Row],[Community Clubs]]&gt;0),1,0)</f>
        <v>0</v>
      </c>
      <c r="Q31" s="22"/>
      <c r="R31" s="22"/>
      <c r="S31" s="22"/>
      <c r="T31" s="22"/>
      <c r="U31" s="22"/>
      <c r="V31" s="22"/>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21"/>
    </row>
    <row r="32" spans="1:218" x14ac:dyDescent="0.25">
      <c r="A32" s="22"/>
      <c r="B32" s="22"/>
      <c r="C32" s="22"/>
      <c r="D32" s="22"/>
      <c r="E32" s="22"/>
      <c r="F32" s="22"/>
      <c r="G32" s="22"/>
      <c r="H32" s="22"/>
      <c r="I32" s="22"/>
      <c r="J32" s="22"/>
      <c r="K32" s="17">
        <f>SUM(Table1910[[#This Row],[Challenge 1]:[Challenge 50]])</f>
        <v>0</v>
      </c>
      <c r="L32" s="88">
        <f>SUM(Table1910[[#This Row],[Club 1]:[Club 50]])</f>
        <v>0</v>
      </c>
      <c r="M32" s="90">
        <f>SUM(Table1910[[#This Row],[Intra-school sports 1]:[Intra-school sports 50]])</f>
        <v>0</v>
      </c>
      <c r="N32" s="88">
        <f>SUM(Table1910[[#This Row],[Inter School sports 1]:[Inter School sports 50]])</f>
        <v>0</v>
      </c>
      <c r="O32" s="17">
        <f>COUNTIF(Table1910[[#This Row],[Community club (type name of club(s). All clubs will count as ''1'']],"*")</f>
        <v>0</v>
      </c>
      <c r="P32" s="17">
        <f>IF(OR(Table1910[[#This Row],[Total Challenges]]&gt;0,Table1910[[#This Row],[Total Ex-C Clubs]]&gt;0,Table1910[[#This Row],[Total Intra-School Sports]]&gt;0,Table1910[[#This Row],[Total Inter-School Sports]]&gt;0,Table1910[[#This Row],[Community Clubs]]&gt;0),1,0)</f>
        <v>0</v>
      </c>
      <c r="Q32" s="22"/>
      <c r="R32" s="22"/>
      <c r="S32" s="22"/>
      <c r="T32" s="22"/>
      <c r="U32" s="22"/>
      <c r="V32" s="22"/>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21"/>
    </row>
    <row r="33" spans="1:218" x14ac:dyDescent="0.25">
      <c r="A33" s="22"/>
      <c r="B33" s="22"/>
      <c r="C33" s="22"/>
      <c r="D33" s="22"/>
      <c r="E33" s="22"/>
      <c r="F33" s="22"/>
      <c r="G33" s="22"/>
      <c r="H33" s="22"/>
      <c r="I33" s="22"/>
      <c r="J33" s="22"/>
      <c r="K33" s="17">
        <f>SUM(Table1910[[#This Row],[Challenge 1]:[Challenge 50]])</f>
        <v>0</v>
      </c>
      <c r="L33" s="88">
        <f>SUM(Table1910[[#This Row],[Club 1]:[Club 50]])</f>
        <v>0</v>
      </c>
      <c r="M33" s="90">
        <f>SUM(Table1910[[#This Row],[Intra-school sports 1]:[Intra-school sports 50]])</f>
        <v>0</v>
      </c>
      <c r="N33" s="88">
        <f>SUM(Table1910[[#This Row],[Inter School sports 1]:[Inter School sports 50]])</f>
        <v>0</v>
      </c>
      <c r="O33" s="17">
        <f>COUNTIF(Table1910[[#This Row],[Community club (type name of club(s). All clubs will count as ''1'']],"*")</f>
        <v>0</v>
      </c>
      <c r="P33" s="17">
        <f>IF(OR(Table1910[[#This Row],[Total Challenges]]&gt;0,Table1910[[#This Row],[Total Ex-C Clubs]]&gt;0,Table1910[[#This Row],[Total Intra-School Sports]]&gt;0,Table1910[[#This Row],[Total Inter-School Sports]]&gt;0,Table1910[[#This Row],[Community Clubs]]&gt;0),1,0)</f>
        <v>0</v>
      </c>
      <c r="Q33" s="22"/>
      <c r="R33" s="22"/>
      <c r="S33" s="22"/>
      <c r="T33" s="22"/>
      <c r="U33" s="22"/>
      <c r="V33" s="22"/>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21"/>
    </row>
    <row r="34" spans="1:218" x14ac:dyDescent="0.25">
      <c r="A34" s="22"/>
      <c r="B34" s="22"/>
      <c r="C34" s="22"/>
      <c r="D34" s="22"/>
      <c r="E34" s="22"/>
      <c r="F34" s="22"/>
      <c r="G34" s="22"/>
      <c r="H34" s="22"/>
      <c r="I34" s="22"/>
      <c r="J34" s="22"/>
      <c r="K34" s="17">
        <f>SUM(Table1910[[#This Row],[Challenge 1]:[Challenge 50]])</f>
        <v>0</v>
      </c>
      <c r="L34" s="88">
        <f>SUM(Table1910[[#This Row],[Club 1]:[Club 50]])</f>
        <v>0</v>
      </c>
      <c r="M34" s="90">
        <f>SUM(Table1910[[#This Row],[Intra-school sports 1]:[Intra-school sports 50]])</f>
        <v>0</v>
      </c>
      <c r="N34" s="88">
        <f>SUM(Table1910[[#This Row],[Inter School sports 1]:[Inter School sports 50]])</f>
        <v>0</v>
      </c>
      <c r="O34" s="17">
        <f>COUNTIF(Table1910[[#This Row],[Community club (type name of club(s). All clubs will count as ''1'']],"*")</f>
        <v>0</v>
      </c>
      <c r="P34" s="17">
        <f>IF(OR(Table1910[[#This Row],[Total Challenges]]&gt;0,Table1910[[#This Row],[Total Ex-C Clubs]]&gt;0,Table1910[[#This Row],[Total Intra-School Sports]]&gt;0,Table1910[[#This Row],[Total Inter-School Sports]]&gt;0,Table1910[[#This Row],[Community Clubs]]&gt;0),1,0)</f>
        <v>0</v>
      </c>
      <c r="Q34" s="22"/>
      <c r="R34" s="22"/>
      <c r="S34" s="22"/>
      <c r="T34" s="22"/>
      <c r="U34" s="22"/>
      <c r="V34" s="22"/>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21"/>
    </row>
    <row r="35" spans="1:218" x14ac:dyDescent="0.25">
      <c r="A35" s="22"/>
      <c r="B35" s="22"/>
      <c r="C35" s="22"/>
      <c r="D35" s="22"/>
      <c r="E35" s="22"/>
      <c r="F35" s="22"/>
      <c r="G35" s="22"/>
      <c r="H35" s="22"/>
      <c r="I35" s="22"/>
      <c r="J35" s="22"/>
      <c r="K35" s="17">
        <f>SUM(Table1910[[#This Row],[Challenge 1]:[Challenge 50]])</f>
        <v>0</v>
      </c>
      <c r="L35" s="88">
        <f>SUM(Table1910[[#This Row],[Club 1]:[Club 50]])</f>
        <v>0</v>
      </c>
      <c r="M35" s="90">
        <f>SUM(Table1910[[#This Row],[Intra-school sports 1]:[Intra-school sports 50]])</f>
        <v>0</v>
      </c>
      <c r="N35" s="88">
        <f>SUM(Table1910[[#This Row],[Inter School sports 1]:[Inter School sports 50]])</f>
        <v>0</v>
      </c>
      <c r="O35" s="17">
        <f>COUNTIF(Table1910[[#This Row],[Community club (type name of club(s). All clubs will count as ''1'']],"*")</f>
        <v>0</v>
      </c>
      <c r="P35" s="17">
        <f>IF(OR(Table1910[[#This Row],[Total Challenges]]&gt;0,Table1910[[#This Row],[Total Ex-C Clubs]]&gt;0,Table1910[[#This Row],[Total Intra-School Sports]]&gt;0,Table1910[[#This Row],[Total Inter-School Sports]]&gt;0,Table1910[[#This Row],[Community Clubs]]&gt;0),1,0)</f>
        <v>0</v>
      </c>
      <c r="Q35" s="22"/>
      <c r="R35" s="22"/>
      <c r="S35" s="22"/>
      <c r="T35" s="22"/>
      <c r="U35" s="22"/>
      <c r="V35" s="22"/>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21"/>
    </row>
    <row r="36" spans="1:218" x14ac:dyDescent="0.25">
      <c r="A36" s="22"/>
      <c r="B36" s="22"/>
      <c r="C36" s="22"/>
      <c r="D36" s="22"/>
      <c r="E36" s="22"/>
      <c r="F36" s="22"/>
      <c r="G36" s="22"/>
      <c r="H36" s="22"/>
      <c r="I36" s="22"/>
      <c r="J36" s="22"/>
      <c r="K36" s="17">
        <f>SUM(Table1910[[#This Row],[Challenge 1]:[Challenge 50]])</f>
        <v>0</v>
      </c>
      <c r="L36" s="88">
        <f>SUM(Table1910[[#This Row],[Club 1]:[Club 50]])</f>
        <v>0</v>
      </c>
      <c r="M36" s="90">
        <f>SUM(Table1910[[#This Row],[Intra-school sports 1]:[Intra-school sports 50]])</f>
        <v>0</v>
      </c>
      <c r="N36" s="88">
        <f>SUM(Table1910[[#This Row],[Inter School sports 1]:[Inter School sports 50]])</f>
        <v>0</v>
      </c>
      <c r="O36" s="17">
        <f>COUNTIF(Table1910[[#This Row],[Community club (type name of club(s). All clubs will count as ''1'']],"*")</f>
        <v>0</v>
      </c>
      <c r="P36" s="17">
        <f>IF(OR(Table1910[[#This Row],[Total Challenges]]&gt;0,Table1910[[#This Row],[Total Ex-C Clubs]]&gt;0,Table1910[[#This Row],[Total Intra-School Sports]]&gt;0,Table1910[[#This Row],[Total Inter-School Sports]]&gt;0,Table1910[[#This Row],[Community Clubs]]&gt;0),1,0)</f>
        <v>0</v>
      </c>
      <c r="Q36" s="22"/>
      <c r="R36" s="22"/>
      <c r="S36" s="22"/>
      <c r="T36" s="22"/>
      <c r="U36" s="22"/>
      <c r="V36" s="22"/>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21"/>
    </row>
    <row r="37" spans="1:218" x14ac:dyDescent="0.25">
      <c r="A37" s="22"/>
      <c r="B37" s="22"/>
      <c r="C37" s="22"/>
      <c r="D37" s="22"/>
      <c r="E37" s="22"/>
      <c r="F37" s="22"/>
      <c r="G37" s="22"/>
      <c r="H37" s="22"/>
      <c r="I37" s="22"/>
      <c r="J37" s="22"/>
      <c r="K37" s="17">
        <f>SUM(Table1910[[#This Row],[Challenge 1]:[Challenge 50]])</f>
        <v>0</v>
      </c>
      <c r="L37" s="88">
        <f>SUM(Table1910[[#This Row],[Club 1]:[Club 50]])</f>
        <v>0</v>
      </c>
      <c r="M37" s="90">
        <f>SUM(Table1910[[#This Row],[Intra-school sports 1]:[Intra-school sports 50]])</f>
        <v>0</v>
      </c>
      <c r="N37" s="88">
        <f>SUM(Table1910[[#This Row],[Inter School sports 1]:[Inter School sports 50]])</f>
        <v>0</v>
      </c>
      <c r="O37" s="17">
        <f>COUNTIF(Table1910[[#This Row],[Community club (type name of club(s). All clubs will count as ''1'']],"*")</f>
        <v>0</v>
      </c>
      <c r="P37" s="17">
        <f>IF(OR(Table1910[[#This Row],[Total Challenges]]&gt;0,Table1910[[#This Row],[Total Ex-C Clubs]]&gt;0,Table1910[[#This Row],[Total Intra-School Sports]]&gt;0,Table1910[[#This Row],[Total Inter-School Sports]]&gt;0,Table1910[[#This Row],[Community Clubs]]&gt;0),1,0)</f>
        <v>0</v>
      </c>
      <c r="Q37" s="22"/>
      <c r="R37" s="22"/>
      <c r="S37" s="22"/>
      <c r="T37" s="22"/>
      <c r="U37" s="22"/>
      <c r="V37" s="22"/>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21"/>
    </row>
    <row r="38" spans="1:218" x14ac:dyDescent="0.25">
      <c r="A38" s="22"/>
      <c r="B38" s="22"/>
      <c r="C38" s="22"/>
      <c r="D38" s="22"/>
      <c r="E38" s="22"/>
      <c r="F38" s="22"/>
      <c r="G38" s="22"/>
      <c r="H38" s="22"/>
      <c r="I38" s="22"/>
      <c r="J38" s="22"/>
      <c r="K38" s="17">
        <f>SUM(Table1910[[#This Row],[Challenge 1]:[Challenge 50]])</f>
        <v>0</v>
      </c>
      <c r="L38" s="88">
        <f>SUM(Table1910[[#This Row],[Club 1]:[Club 50]])</f>
        <v>0</v>
      </c>
      <c r="M38" s="90">
        <f>SUM(Table1910[[#This Row],[Intra-school sports 1]:[Intra-school sports 50]])</f>
        <v>0</v>
      </c>
      <c r="N38" s="88">
        <f>SUM(Table1910[[#This Row],[Inter School sports 1]:[Inter School sports 50]])</f>
        <v>0</v>
      </c>
      <c r="O38" s="17">
        <f>COUNTIF(Table1910[[#This Row],[Community club (type name of club(s). All clubs will count as ''1'']],"*")</f>
        <v>0</v>
      </c>
      <c r="P38" s="17">
        <f>IF(OR(Table1910[[#This Row],[Total Challenges]]&gt;0,Table1910[[#This Row],[Total Ex-C Clubs]]&gt;0,Table1910[[#This Row],[Total Intra-School Sports]]&gt;0,Table1910[[#This Row],[Total Inter-School Sports]]&gt;0,Table1910[[#This Row],[Community Clubs]]&gt;0),1,0)</f>
        <v>0</v>
      </c>
      <c r="Q38" s="22"/>
      <c r="R38" s="22"/>
      <c r="S38" s="22"/>
      <c r="T38" s="22"/>
      <c r="U38" s="22"/>
      <c r="V38" s="22"/>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21"/>
    </row>
    <row r="39" spans="1:218" x14ac:dyDescent="0.25">
      <c r="A39" s="22"/>
      <c r="B39" s="22"/>
      <c r="C39" s="22"/>
      <c r="D39" s="22"/>
      <c r="E39" s="22"/>
      <c r="F39" s="22"/>
      <c r="G39" s="22"/>
      <c r="H39" s="22"/>
      <c r="I39" s="22"/>
      <c r="J39" s="22"/>
      <c r="K39" s="17">
        <f>SUM(Table1910[[#This Row],[Challenge 1]:[Challenge 50]])</f>
        <v>0</v>
      </c>
      <c r="L39" s="88">
        <f>SUM(Table1910[[#This Row],[Club 1]:[Club 50]])</f>
        <v>0</v>
      </c>
      <c r="M39" s="90">
        <f>SUM(Table1910[[#This Row],[Intra-school sports 1]:[Intra-school sports 50]])</f>
        <v>0</v>
      </c>
      <c r="N39" s="88">
        <f>SUM(Table1910[[#This Row],[Inter School sports 1]:[Inter School sports 50]])</f>
        <v>0</v>
      </c>
      <c r="O39" s="17">
        <f>COUNTIF(Table1910[[#This Row],[Community club (type name of club(s). All clubs will count as ''1'']],"*")</f>
        <v>0</v>
      </c>
      <c r="P39" s="17">
        <f>IF(OR(Table1910[[#This Row],[Total Challenges]]&gt;0,Table1910[[#This Row],[Total Ex-C Clubs]]&gt;0,Table1910[[#This Row],[Total Intra-School Sports]]&gt;0,Table1910[[#This Row],[Total Inter-School Sports]]&gt;0,Table1910[[#This Row],[Community Clubs]]&gt;0),1,0)</f>
        <v>0</v>
      </c>
      <c r="Q39" s="22"/>
      <c r="R39" s="22"/>
      <c r="S39" s="22"/>
      <c r="T39" s="22"/>
      <c r="U39" s="22"/>
      <c r="V39" s="22"/>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21"/>
    </row>
    <row r="40" spans="1:218" x14ac:dyDescent="0.25">
      <c r="A40" s="22"/>
      <c r="B40" s="22"/>
      <c r="C40" s="22"/>
      <c r="D40" s="22"/>
      <c r="E40" s="22"/>
      <c r="F40" s="22"/>
      <c r="G40" s="22"/>
      <c r="H40" s="22"/>
      <c r="I40" s="22"/>
      <c r="J40" s="22"/>
      <c r="K40" s="17">
        <f>SUM(Table1910[[#This Row],[Challenge 1]:[Challenge 50]])</f>
        <v>0</v>
      </c>
      <c r="L40" s="88">
        <f>SUM(Table1910[[#This Row],[Club 1]:[Club 50]])</f>
        <v>0</v>
      </c>
      <c r="M40" s="90">
        <f>SUM(Table1910[[#This Row],[Intra-school sports 1]:[Intra-school sports 50]])</f>
        <v>0</v>
      </c>
      <c r="N40" s="88">
        <f>SUM(Table1910[[#This Row],[Inter School sports 1]:[Inter School sports 50]])</f>
        <v>0</v>
      </c>
      <c r="O40" s="17">
        <f>COUNTIF(Table1910[[#This Row],[Community club (type name of club(s). All clubs will count as ''1'']],"*")</f>
        <v>0</v>
      </c>
      <c r="P40" s="17">
        <f>IF(OR(Table1910[[#This Row],[Total Challenges]]&gt;0,Table1910[[#This Row],[Total Ex-C Clubs]]&gt;0,Table1910[[#This Row],[Total Intra-School Sports]]&gt;0,Table1910[[#This Row],[Total Inter-School Sports]]&gt;0,Table1910[[#This Row],[Community Clubs]]&gt;0),1,0)</f>
        <v>0</v>
      </c>
      <c r="Q40" s="22"/>
      <c r="R40" s="22"/>
      <c r="S40" s="22"/>
      <c r="T40" s="22"/>
      <c r="U40" s="22"/>
      <c r="V40" s="22"/>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21"/>
    </row>
    <row r="41" spans="1:218" x14ac:dyDescent="0.25">
      <c r="A41" s="22"/>
      <c r="B41" s="22"/>
      <c r="C41" s="22"/>
      <c r="D41" s="22"/>
      <c r="E41" s="22"/>
      <c r="F41" s="22"/>
      <c r="G41" s="22"/>
      <c r="H41" s="22"/>
      <c r="I41" s="22"/>
      <c r="J41" s="22"/>
      <c r="K41" s="17">
        <f>SUM(Table1910[[#This Row],[Challenge 1]:[Challenge 50]])</f>
        <v>0</v>
      </c>
      <c r="L41" s="88">
        <f>SUM(Table1910[[#This Row],[Club 1]:[Club 50]])</f>
        <v>0</v>
      </c>
      <c r="M41" s="90">
        <f>SUM(Table1910[[#This Row],[Intra-school sports 1]:[Intra-school sports 50]])</f>
        <v>0</v>
      </c>
      <c r="N41" s="88">
        <f>SUM(Table1910[[#This Row],[Inter School sports 1]:[Inter School sports 50]])</f>
        <v>0</v>
      </c>
      <c r="O41" s="17">
        <f>COUNTIF(Table1910[[#This Row],[Community club (type name of club(s). All clubs will count as ''1'']],"*")</f>
        <v>0</v>
      </c>
      <c r="P41" s="17">
        <f>IF(OR(Table1910[[#This Row],[Total Challenges]]&gt;0,Table1910[[#This Row],[Total Ex-C Clubs]]&gt;0,Table1910[[#This Row],[Total Intra-School Sports]]&gt;0,Table1910[[#This Row],[Total Inter-School Sports]]&gt;0,Table1910[[#This Row],[Community Clubs]]&gt;0),1,0)</f>
        <v>0</v>
      </c>
      <c r="Q41" s="22"/>
      <c r="R41" s="22"/>
      <c r="S41" s="22"/>
      <c r="T41" s="22"/>
      <c r="U41" s="22"/>
      <c r="V41" s="22"/>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21"/>
    </row>
    <row r="42" spans="1:218" x14ac:dyDescent="0.25">
      <c r="A42" s="22"/>
      <c r="B42" s="22"/>
      <c r="C42" s="22"/>
      <c r="D42" s="22"/>
      <c r="E42" s="22"/>
      <c r="F42" s="22"/>
      <c r="G42" s="22"/>
      <c r="H42" s="22"/>
      <c r="I42" s="22"/>
      <c r="J42" s="22"/>
      <c r="K42" s="17">
        <f>SUM(Table1910[[#This Row],[Challenge 1]:[Challenge 50]])</f>
        <v>0</v>
      </c>
      <c r="L42" s="88">
        <f>SUM(Table1910[[#This Row],[Club 1]:[Club 50]])</f>
        <v>0</v>
      </c>
      <c r="M42" s="90">
        <f>SUM(Table1910[[#This Row],[Intra-school sports 1]:[Intra-school sports 50]])</f>
        <v>0</v>
      </c>
      <c r="N42" s="88">
        <f>SUM(Table1910[[#This Row],[Inter School sports 1]:[Inter School sports 50]])</f>
        <v>0</v>
      </c>
      <c r="O42" s="17">
        <f>COUNTIF(Table1910[[#This Row],[Community club (type name of club(s). All clubs will count as ''1'']],"*")</f>
        <v>0</v>
      </c>
      <c r="P42" s="17">
        <f>IF(OR(Table1910[[#This Row],[Total Challenges]]&gt;0,Table1910[[#This Row],[Total Ex-C Clubs]]&gt;0,Table1910[[#This Row],[Total Intra-School Sports]]&gt;0,Table1910[[#This Row],[Total Inter-School Sports]]&gt;0,Table1910[[#This Row],[Community Clubs]]&gt;0),1,0)</f>
        <v>0</v>
      </c>
      <c r="Q42" s="22"/>
      <c r="R42" s="22"/>
      <c r="S42" s="22"/>
      <c r="T42" s="22"/>
      <c r="U42" s="22"/>
      <c r="V42" s="22"/>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21"/>
    </row>
    <row r="43" spans="1:218" x14ac:dyDescent="0.25">
      <c r="A43" s="22"/>
      <c r="B43" s="22"/>
      <c r="C43" s="22"/>
      <c r="D43" s="22"/>
      <c r="E43" s="22"/>
      <c r="F43" s="22"/>
      <c r="G43" s="22"/>
      <c r="H43" s="22"/>
      <c r="I43" s="22"/>
      <c r="J43" s="22"/>
      <c r="K43" s="17">
        <f>SUM(Table1910[[#This Row],[Challenge 1]:[Challenge 50]])</f>
        <v>0</v>
      </c>
      <c r="L43" s="88">
        <f>SUM(Table1910[[#This Row],[Club 1]:[Club 50]])</f>
        <v>0</v>
      </c>
      <c r="M43" s="90">
        <f>SUM(Table1910[[#This Row],[Intra-school sports 1]:[Intra-school sports 50]])</f>
        <v>0</v>
      </c>
      <c r="N43" s="88">
        <f>SUM(Table1910[[#This Row],[Inter School sports 1]:[Inter School sports 50]])</f>
        <v>0</v>
      </c>
      <c r="O43" s="17">
        <f>COUNTIF(Table1910[[#This Row],[Community club (type name of club(s). All clubs will count as ''1'']],"*")</f>
        <v>0</v>
      </c>
      <c r="P43" s="17">
        <f>IF(OR(Table1910[[#This Row],[Total Challenges]]&gt;0,Table1910[[#This Row],[Total Ex-C Clubs]]&gt;0,Table1910[[#This Row],[Total Intra-School Sports]]&gt;0,Table1910[[#This Row],[Total Inter-School Sports]]&gt;0,Table1910[[#This Row],[Community Clubs]]&gt;0),1,0)</f>
        <v>0</v>
      </c>
      <c r="Q43" s="22"/>
      <c r="R43" s="22"/>
      <c r="S43" s="22"/>
      <c r="T43" s="22"/>
      <c r="U43" s="22"/>
      <c r="V43" s="22"/>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21"/>
    </row>
    <row r="44" spans="1:218" x14ac:dyDescent="0.25">
      <c r="A44" s="22"/>
      <c r="B44" s="22"/>
      <c r="C44" s="22"/>
      <c r="D44" s="22"/>
      <c r="E44" s="22"/>
      <c r="F44" s="22"/>
      <c r="G44" s="22"/>
      <c r="H44" s="22"/>
      <c r="I44" s="22"/>
      <c r="J44" s="22"/>
      <c r="K44" s="17">
        <f>SUM(Table1910[[#This Row],[Challenge 1]:[Challenge 50]])</f>
        <v>0</v>
      </c>
      <c r="L44" s="88">
        <f>SUM(Table1910[[#This Row],[Club 1]:[Club 50]])</f>
        <v>0</v>
      </c>
      <c r="M44" s="90">
        <f>SUM(Table1910[[#This Row],[Intra-school sports 1]:[Intra-school sports 50]])</f>
        <v>0</v>
      </c>
      <c r="N44" s="88">
        <f>SUM(Table1910[[#This Row],[Inter School sports 1]:[Inter School sports 50]])</f>
        <v>0</v>
      </c>
      <c r="O44" s="17">
        <f>COUNTIF(Table1910[[#This Row],[Community club (type name of club(s). All clubs will count as ''1'']],"*")</f>
        <v>0</v>
      </c>
      <c r="P44" s="17">
        <f>IF(OR(Table1910[[#This Row],[Total Challenges]]&gt;0,Table1910[[#This Row],[Total Ex-C Clubs]]&gt;0,Table1910[[#This Row],[Total Intra-School Sports]]&gt;0,Table1910[[#This Row],[Total Inter-School Sports]]&gt;0,Table1910[[#This Row],[Community Clubs]]&gt;0),1,0)</f>
        <v>0</v>
      </c>
      <c r="Q44" s="22"/>
      <c r="R44" s="22"/>
      <c r="S44" s="22"/>
      <c r="T44" s="22"/>
      <c r="U44" s="22"/>
      <c r="V44" s="22"/>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21"/>
    </row>
    <row r="45" spans="1:218" x14ac:dyDescent="0.25">
      <c r="A45" s="22"/>
      <c r="B45" s="22"/>
      <c r="C45" s="22"/>
      <c r="D45" s="22"/>
      <c r="E45" s="22"/>
      <c r="F45" s="22"/>
      <c r="G45" s="22"/>
      <c r="H45" s="22"/>
      <c r="I45" s="22"/>
      <c r="J45" s="22"/>
      <c r="K45" s="17">
        <f>SUM(Table1910[[#This Row],[Challenge 1]:[Challenge 50]])</f>
        <v>0</v>
      </c>
      <c r="L45" s="88">
        <f>SUM(Table1910[[#This Row],[Club 1]:[Club 50]])</f>
        <v>0</v>
      </c>
      <c r="M45" s="90">
        <f>SUM(Table1910[[#This Row],[Intra-school sports 1]:[Intra-school sports 50]])</f>
        <v>0</v>
      </c>
      <c r="N45" s="88">
        <f>SUM(Table1910[[#This Row],[Inter School sports 1]:[Inter School sports 50]])</f>
        <v>0</v>
      </c>
      <c r="O45" s="17">
        <f>COUNTIF(Table1910[[#This Row],[Community club (type name of club(s). All clubs will count as ''1'']],"*")</f>
        <v>0</v>
      </c>
      <c r="P45" s="17">
        <f>IF(OR(Table1910[[#This Row],[Total Challenges]]&gt;0,Table1910[[#This Row],[Total Ex-C Clubs]]&gt;0,Table1910[[#This Row],[Total Intra-School Sports]]&gt;0,Table1910[[#This Row],[Total Inter-School Sports]]&gt;0,Table1910[[#This Row],[Community Clubs]]&gt;0),1,0)</f>
        <v>0</v>
      </c>
      <c r="Q45" s="22"/>
      <c r="R45" s="22"/>
      <c r="S45" s="22"/>
      <c r="T45" s="22"/>
      <c r="U45" s="22"/>
      <c r="V45" s="22"/>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21"/>
    </row>
    <row r="46" spans="1:218" x14ac:dyDescent="0.25">
      <c r="A46" s="22"/>
      <c r="B46" s="22"/>
      <c r="C46" s="22"/>
      <c r="D46" s="22"/>
      <c r="E46" s="22"/>
      <c r="F46" s="22"/>
      <c r="G46" s="22"/>
      <c r="H46" s="22"/>
      <c r="I46" s="22"/>
      <c r="J46" s="22"/>
      <c r="K46" s="17">
        <f>SUM(Table1910[[#This Row],[Challenge 1]:[Challenge 50]])</f>
        <v>0</v>
      </c>
      <c r="L46" s="88">
        <f>SUM(Table1910[[#This Row],[Club 1]:[Club 50]])</f>
        <v>0</v>
      </c>
      <c r="M46" s="90">
        <f>SUM(Table1910[[#This Row],[Intra-school sports 1]:[Intra-school sports 50]])</f>
        <v>0</v>
      </c>
      <c r="N46" s="88">
        <f>SUM(Table1910[[#This Row],[Inter School sports 1]:[Inter School sports 50]])</f>
        <v>0</v>
      </c>
      <c r="O46" s="17">
        <f>COUNTIF(Table1910[[#This Row],[Community club (type name of club(s). All clubs will count as ''1'']],"*")</f>
        <v>0</v>
      </c>
      <c r="P46" s="17">
        <f>IF(OR(Table1910[[#This Row],[Total Challenges]]&gt;0,Table1910[[#This Row],[Total Ex-C Clubs]]&gt;0,Table1910[[#This Row],[Total Intra-School Sports]]&gt;0,Table1910[[#This Row],[Total Inter-School Sports]]&gt;0,Table1910[[#This Row],[Community Clubs]]&gt;0),1,0)</f>
        <v>0</v>
      </c>
      <c r="Q46" s="22"/>
      <c r="R46" s="22"/>
      <c r="S46" s="22"/>
      <c r="T46" s="22"/>
      <c r="U46" s="22"/>
      <c r="V46" s="22"/>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21"/>
    </row>
    <row r="47" spans="1:218" x14ac:dyDescent="0.25">
      <c r="A47" s="22"/>
      <c r="B47" s="22"/>
      <c r="C47" s="22"/>
      <c r="D47" s="22"/>
      <c r="E47" s="22"/>
      <c r="F47" s="22"/>
      <c r="G47" s="22"/>
      <c r="H47" s="22"/>
      <c r="I47" s="22"/>
      <c r="J47" s="22"/>
      <c r="K47" s="17">
        <f>SUM(Table1910[[#This Row],[Challenge 1]:[Challenge 50]])</f>
        <v>0</v>
      </c>
      <c r="L47" s="88">
        <f>SUM(Table1910[[#This Row],[Club 1]:[Club 50]])</f>
        <v>0</v>
      </c>
      <c r="M47" s="90">
        <f>SUM(Table1910[[#This Row],[Intra-school sports 1]:[Intra-school sports 50]])</f>
        <v>0</v>
      </c>
      <c r="N47" s="88">
        <f>SUM(Table1910[[#This Row],[Inter School sports 1]:[Inter School sports 50]])</f>
        <v>0</v>
      </c>
      <c r="O47" s="17">
        <f>COUNTIF(Table1910[[#This Row],[Community club (type name of club(s). All clubs will count as ''1'']],"*")</f>
        <v>0</v>
      </c>
      <c r="P47" s="17">
        <f>IF(OR(Table1910[[#This Row],[Total Challenges]]&gt;0,Table1910[[#This Row],[Total Ex-C Clubs]]&gt;0,Table1910[[#This Row],[Total Intra-School Sports]]&gt;0,Table1910[[#This Row],[Total Inter-School Sports]]&gt;0,Table1910[[#This Row],[Community Clubs]]&gt;0),1,0)</f>
        <v>0</v>
      </c>
      <c r="Q47" s="22"/>
      <c r="R47" s="22"/>
      <c r="S47" s="22"/>
      <c r="T47" s="22"/>
      <c r="U47" s="22"/>
      <c r="V47" s="22"/>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21"/>
    </row>
    <row r="48" spans="1:218" x14ac:dyDescent="0.25">
      <c r="A48" s="22"/>
      <c r="B48" s="22"/>
      <c r="C48" s="22"/>
      <c r="D48" s="22"/>
      <c r="E48" s="22"/>
      <c r="F48" s="22"/>
      <c r="G48" s="22"/>
      <c r="H48" s="22"/>
      <c r="I48" s="22"/>
      <c r="J48" s="22"/>
      <c r="K48" s="17">
        <f>SUM(Table1910[[#This Row],[Challenge 1]:[Challenge 50]])</f>
        <v>0</v>
      </c>
      <c r="L48" s="88">
        <f>SUM(Table1910[[#This Row],[Club 1]:[Club 50]])</f>
        <v>0</v>
      </c>
      <c r="M48" s="90">
        <f>SUM(Table1910[[#This Row],[Intra-school sports 1]:[Intra-school sports 50]])</f>
        <v>0</v>
      </c>
      <c r="N48" s="88">
        <f>SUM(Table1910[[#This Row],[Inter School sports 1]:[Inter School sports 50]])</f>
        <v>0</v>
      </c>
      <c r="O48" s="17">
        <f>COUNTIF(Table1910[[#This Row],[Community club (type name of club(s). All clubs will count as ''1'']],"*")</f>
        <v>0</v>
      </c>
      <c r="P48" s="17">
        <f>IF(OR(Table1910[[#This Row],[Total Challenges]]&gt;0,Table1910[[#This Row],[Total Ex-C Clubs]]&gt;0,Table1910[[#This Row],[Total Intra-School Sports]]&gt;0,Table1910[[#This Row],[Total Inter-School Sports]]&gt;0,Table1910[[#This Row],[Community Clubs]]&gt;0),1,0)</f>
        <v>0</v>
      </c>
      <c r="Q48" s="22"/>
      <c r="R48" s="22"/>
      <c r="S48" s="22"/>
      <c r="T48" s="22"/>
      <c r="U48" s="22"/>
      <c r="V48" s="22"/>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21"/>
    </row>
    <row r="49" spans="1:218" x14ac:dyDescent="0.25">
      <c r="A49" s="22"/>
      <c r="B49" s="22"/>
      <c r="C49" s="22"/>
      <c r="D49" s="22"/>
      <c r="E49" s="22"/>
      <c r="F49" s="22"/>
      <c r="G49" s="22"/>
      <c r="H49" s="22"/>
      <c r="I49" s="22"/>
      <c r="J49" s="22"/>
      <c r="K49" s="17">
        <f>SUM(Table1910[[#This Row],[Challenge 1]:[Challenge 50]])</f>
        <v>0</v>
      </c>
      <c r="L49" s="88">
        <f>SUM(Table1910[[#This Row],[Club 1]:[Club 50]])</f>
        <v>0</v>
      </c>
      <c r="M49" s="90">
        <f>SUM(Table1910[[#This Row],[Intra-school sports 1]:[Intra-school sports 50]])</f>
        <v>0</v>
      </c>
      <c r="N49" s="88">
        <f>SUM(Table1910[[#This Row],[Inter School sports 1]:[Inter School sports 50]])</f>
        <v>0</v>
      </c>
      <c r="O49" s="17">
        <f>COUNTIF(Table1910[[#This Row],[Community club (type name of club(s). All clubs will count as ''1'']],"*")</f>
        <v>0</v>
      </c>
      <c r="P49" s="17">
        <f>IF(OR(Table1910[[#This Row],[Total Challenges]]&gt;0,Table1910[[#This Row],[Total Ex-C Clubs]]&gt;0,Table1910[[#This Row],[Total Intra-School Sports]]&gt;0,Table1910[[#This Row],[Total Inter-School Sports]]&gt;0,Table1910[[#This Row],[Community Clubs]]&gt;0),1,0)</f>
        <v>0</v>
      </c>
      <c r="Q49" s="22"/>
      <c r="R49" s="22"/>
      <c r="S49" s="22"/>
      <c r="T49" s="22"/>
      <c r="U49" s="22"/>
      <c r="V49" s="22"/>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21"/>
    </row>
    <row r="50" spans="1:218" x14ac:dyDescent="0.25">
      <c r="A50" s="22"/>
      <c r="B50" s="22"/>
      <c r="C50" s="22"/>
      <c r="D50" s="22"/>
      <c r="E50" s="22"/>
      <c r="F50" s="22"/>
      <c r="G50" s="22"/>
      <c r="H50" s="22"/>
      <c r="I50" s="22"/>
      <c r="J50" s="22"/>
      <c r="K50" s="17">
        <f>SUM(Table1910[[#This Row],[Challenge 1]:[Challenge 50]])</f>
        <v>0</v>
      </c>
      <c r="L50" s="88">
        <f>SUM(Table1910[[#This Row],[Club 1]:[Club 50]])</f>
        <v>0</v>
      </c>
      <c r="M50" s="90">
        <f>SUM(Table1910[[#This Row],[Intra-school sports 1]:[Intra-school sports 50]])</f>
        <v>0</v>
      </c>
      <c r="N50" s="88">
        <f>SUM(Table1910[[#This Row],[Inter School sports 1]:[Inter School sports 50]])</f>
        <v>0</v>
      </c>
      <c r="O50" s="17">
        <f>COUNTIF(Table1910[[#This Row],[Community club (type name of club(s). All clubs will count as ''1'']],"*")</f>
        <v>0</v>
      </c>
      <c r="P50" s="17">
        <f>IF(OR(Table1910[[#This Row],[Total Challenges]]&gt;0,Table1910[[#This Row],[Total Ex-C Clubs]]&gt;0,Table1910[[#This Row],[Total Intra-School Sports]]&gt;0,Table1910[[#This Row],[Total Inter-School Sports]]&gt;0,Table1910[[#This Row],[Community Clubs]]&gt;0),1,0)</f>
        <v>0</v>
      </c>
      <c r="Q50" s="22"/>
      <c r="R50" s="22"/>
      <c r="S50" s="22"/>
      <c r="T50" s="22"/>
      <c r="U50" s="22"/>
      <c r="V50" s="22"/>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21"/>
    </row>
    <row r="51" spans="1:218" x14ac:dyDescent="0.25">
      <c r="A51" s="22"/>
      <c r="B51" s="22"/>
      <c r="C51" s="22"/>
      <c r="D51" s="22"/>
      <c r="E51" s="22"/>
      <c r="F51" s="22"/>
      <c r="G51" s="22"/>
      <c r="H51" s="22"/>
      <c r="I51" s="22"/>
      <c r="J51" s="22"/>
      <c r="K51" s="17">
        <f>SUM(Table1910[[#This Row],[Challenge 1]:[Challenge 50]])</f>
        <v>0</v>
      </c>
      <c r="L51" s="88">
        <f>SUM(Table1910[[#This Row],[Club 1]:[Club 50]])</f>
        <v>0</v>
      </c>
      <c r="M51" s="90">
        <f>SUM(Table1910[[#This Row],[Intra-school sports 1]:[Intra-school sports 50]])</f>
        <v>0</v>
      </c>
      <c r="N51" s="88">
        <f>SUM(Table1910[[#This Row],[Inter School sports 1]:[Inter School sports 50]])</f>
        <v>0</v>
      </c>
      <c r="O51" s="17">
        <f>COUNTIF(Table1910[[#This Row],[Community club (type name of club(s). All clubs will count as ''1'']],"*")</f>
        <v>0</v>
      </c>
      <c r="P51" s="17">
        <f>IF(OR(Table1910[[#This Row],[Total Challenges]]&gt;0,Table1910[[#This Row],[Total Ex-C Clubs]]&gt;0,Table1910[[#This Row],[Total Intra-School Sports]]&gt;0,Table1910[[#This Row],[Total Inter-School Sports]]&gt;0,Table1910[[#This Row],[Community Clubs]]&gt;0),1,0)</f>
        <v>0</v>
      </c>
      <c r="Q51" s="22"/>
      <c r="R51" s="22"/>
      <c r="S51" s="22"/>
      <c r="T51" s="22"/>
      <c r="U51" s="22"/>
      <c r="V51" s="22"/>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21"/>
    </row>
    <row r="52" spans="1:218" x14ac:dyDescent="0.25">
      <c r="A52" s="22"/>
      <c r="B52" s="22"/>
      <c r="C52" s="22"/>
      <c r="D52" s="22"/>
      <c r="E52" s="22"/>
      <c r="F52" s="22"/>
      <c r="G52" s="22"/>
      <c r="H52" s="22"/>
      <c r="I52" s="22"/>
      <c r="J52" s="22"/>
      <c r="K52" s="17">
        <f>SUM(Table1910[[#This Row],[Challenge 1]:[Challenge 50]])</f>
        <v>0</v>
      </c>
      <c r="L52" s="88">
        <f>SUM(Table1910[[#This Row],[Club 1]:[Club 50]])</f>
        <v>0</v>
      </c>
      <c r="M52" s="90">
        <f>SUM(Table1910[[#This Row],[Intra-school sports 1]:[Intra-school sports 50]])</f>
        <v>0</v>
      </c>
      <c r="N52" s="88">
        <f>SUM(Table1910[[#This Row],[Inter School sports 1]:[Inter School sports 50]])</f>
        <v>0</v>
      </c>
      <c r="O52" s="17">
        <f>COUNTIF(Table1910[[#This Row],[Community club (type name of club(s). All clubs will count as ''1'']],"*")</f>
        <v>0</v>
      </c>
      <c r="P52" s="17">
        <f>IF(OR(Table1910[[#This Row],[Total Challenges]]&gt;0,Table1910[[#This Row],[Total Ex-C Clubs]]&gt;0,Table1910[[#This Row],[Total Intra-School Sports]]&gt;0,Table1910[[#This Row],[Total Inter-School Sports]]&gt;0,Table1910[[#This Row],[Community Clubs]]&gt;0),1,0)</f>
        <v>0</v>
      </c>
      <c r="Q52" s="22"/>
      <c r="R52" s="22"/>
      <c r="S52" s="22"/>
      <c r="T52" s="22"/>
      <c r="U52" s="22"/>
      <c r="V52" s="22"/>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21"/>
    </row>
    <row r="53" spans="1:218" x14ac:dyDescent="0.25">
      <c r="A53" s="22"/>
      <c r="B53" s="22"/>
      <c r="C53" s="22"/>
      <c r="D53" s="22"/>
      <c r="E53" s="22"/>
      <c r="F53" s="22"/>
      <c r="G53" s="22"/>
      <c r="H53" s="22"/>
      <c r="I53" s="22"/>
      <c r="J53" s="22"/>
      <c r="K53" s="17">
        <f>SUM(Table1910[[#This Row],[Challenge 1]:[Challenge 50]])</f>
        <v>0</v>
      </c>
      <c r="L53" s="88">
        <f>SUM(Table1910[[#This Row],[Club 1]:[Club 50]])</f>
        <v>0</v>
      </c>
      <c r="M53" s="90">
        <f>SUM(Table1910[[#This Row],[Intra-school sports 1]:[Intra-school sports 50]])</f>
        <v>0</v>
      </c>
      <c r="N53" s="88">
        <f>SUM(Table1910[[#This Row],[Inter School sports 1]:[Inter School sports 50]])</f>
        <v>0</v>
      </c>
      <c r="O53" s="17">
        <f>COUNTIF(Table1910[[#This Row],[Community club (type name of club(s). All clubs will count as ''1'']],"*")</f>
        <v>0</v>
      </c>
      <c r="P53" s="17">
        <f>IF(OR(Table1910[[#This Row],[Total Challenges]]&gt;0,Table1910[[#This Row],[Total Ex-C Clubs]]&gt;0,Table1910[[#This Row],[Total Intra-School Sports]]&gt;0,Table1910[[#This Row],[Total Inter-School Sports]]&gt;0,Table1910[[#This Row],[Community Clubs]]&gt;0),1,0)</f>
        <v>0</v>
      </c>
      <c r="Q53" s="22"/>
      <c r="R53" s="22"/>
      <c r="S53" s="22"/>
      <c r="T53" s="22"/>
      <c r="U53" s="22"/>
      <c r="V53" s="22"/>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21"/>
    </row>
    <row r="54" spans="1:218" x14ac:dyDescent="0.25">
      <c r="A54" s="22"/>
      <c r="B54" s="22"/>
      <c r="C54" s="22"/>
      <c r="D54" s="22"/>
      <c r="E54" s="22"/>
      <c r="F54" s="22"/>
      <c r="G54" s="22"/>
      <c r="H54" s="22"/>
      <c r="I54" s="22"/>
      <c r="J54" s="22"/>
      <c r="K54" s="17">
        <f>SUM(Table1910[[#This Row],[Challenge 1]:[Challenge 50]])</f>
        <v>0</v>
      </c>
      <c r="L54" s="88">
        <f>SUM(Table1910[[#This Row],[Club 1]:[Club 50]])</f>
        <v>0</v>
      </c>
      <c r="M54" s="90">
        <f>SUM(Table1910[[#This Row],[Intra-school sports 1]:[Intra-school sports 50]])</f>
        <v>0</v>
      </c>
      <c r="N54" s="88">
        <f>SUM(Table1910[[#This Row],[Inter School sports 1]:[Inter School sports 50]])</f>
        <v>0</v>
      </c>
      <c r="O54" s="17">
        <f>COUNTIF(Table1910[[#This Row],[Community club (type name of club(s). All clubs will count as ''1'']],"*")</f>
        <v>0</v>
      </c>
      <c r="P54" s="17">
        <f>IF(OR(Table1910[[#This Row],[Total Challenges]]&gt;0,Table1910[[#This Row],[Total Ex-C Clubs]]&gt;0,Table1910[[#This Row],[Total Intra-School Sports]]&gt;0,Table1910[[#This Row],[Total Inter-School Sports]]&gt;0,Table1910[[#This Row],[Community Clubs]]&gt;0),1,0)</f>
        <v>0</v>
      </c>
      <c r="Q54" s="22"/>
      <c r="R54" s="22"/>
      <c r="S54" s="22"/>
      <c r="T54" s="22"/>
      <c r="U54" s="22"/>
      <c r="V54" s="22"/>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21"/>
    </row>
    <row r="55" spans="1:218" x14ac:dyDescent="0.25">
      <c r="A55" s="22"/>
      <c r="B55" s="22"/>
      <c r="C55" s="22"/>
      <c r="D55" s="22"/>
      <c r="E55" s="22"/>
      <c r="F55" s="22"/>
      <c r="G55" s="22"/>
      <c r="H55" s="22"/>
      <c r="I55" s="22"/>
      <c r="J55" s="22"/>
      <c r="K55" s="17">
        <f>SUM(Table1910[[#This Row],[Challenge 1]:[Challenge 50]])</f>
        <v>0</v>
      </c>
      <c r="L55" s="88">
        <f>SUM(Table1910[[#This Row],[Club 1]:[Club 50]])</f>
        <v>0</v>
      </c>
      <c r="M55" s="90">
        <f>SUM(Table1910[[#This Row],[Intra-school sports 1]:[Intra-school sports 50]])</f>
        <v>0</v>
      </c>
      <c r="N55" s="88">
        <f>SUM(Table1910[[#This Row],[Inter School sports 1]:[Inter School sports 50]])</f>
        <v>0</v>
      </c>
      <c r="O55" s="17">
        <f>COUNTIF(Table1910[[#This Row],[Community club (type name of club(s). All clubs will count as ''1'']],"*")</f>
        <v>0</v>
      </c>
      <c r="P55" s="17">
        <f>IF(OR(Table1910[[#This Row],[Total Challenges]]&gt;0,Table1910[[#This Row],[Total Ex-C Clubs]]&gt;0,Table1910[[#This Row],[Total Intra-School Sports]]&gt;0,Table1910[[#This Row],[Total Inter-School Sports]]&gt;0,Table1910[[#This Row],[Community Clubs]]&gt;0),1,0)</f>
        <v>0</v>
      </c>
      <c r="Q55" s="22"/>
      <c r="R55" s="22"/>
      <c r="S55" s="22"/>
      <c r="T55" s="22"/>
      <c r="U55" s="22"/>
      <c r="V55" s="22"/>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21"/>
    </row>
    <row r="56" spans="1:218" x14ac:dyDescent="0.25">
      <c r="A56" s="22"/>
      <c r="B56" s="22"/>
      <c r="C56" s="22"/>
      <c r="D56" s="22"/>
      <c r="E56" s="22"/>
      <c r="F56" s="22"/>
      <c r="G56" s="22"/>
      <c r="H56" s="22"/>
      <c r="I56" s="22"/>
      <c r="J56" s="22"/>
      <c r="K56" s="17">
        <f>SUM(Table1910[[#This Row],[Challenge 1]:[Challenge 50]])</f>
        <v>0</v>
      </c>
      <c r="L56" s="88">
        <f>SUM(Table1910[[#This Row],[Club 1]:[Club 50]])</f>
        <v>0</v>
      </c>
      <c r="M56" s="90">
        <f>SUM(Table1910[[#This Row],[Intra-school sports 1]:[Intra-school sports 50]])</f>
        <v>0</v>
      </c>
      <c r="N56" s="88">
        <f>SUM(Table1910[[#This Row],[Inter School sports 1]:[Inter School sports 50]])</f>
        <v>0</v>
      </c>
      <c r="O56" s="17">
        <f>COUNTIF(Table1910[[#This Row],[Community club (type name of club(s). All clubs will count as ''1'']],"*")</f>
        <v>0</v>
      </c>
      <c r="P56" s="17">
        <f>IF(OR(Table1910[[#This Row],[Total Challenges]]&gt;0,Table1910[[#This Row],[Total Ex-C Clubs]]&gt;0,Table1910[[#This Row],[Total Intra-School Sports]]&gt;0,Table1910[[#This Row],[Total Inter-School Sports]]&gt;0,Table1910[[#This Row],[Community Clubs]]&gt;0),1,0)</f>
        <v>0</v>
      </c>
      <c r="Q56" s="22"/>
      <c r="R56" s="22"/>
      <c r="S56" s="22"/>
      <c r="T56" s="22"/>
      <c r="U56" s="22"/>
      <c r="V56" s="22"/>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21"/>
    </row>
    <row r="57" spans="1:218" x14ac:dyDescent="0.25">
      <c r="A57" s="22"/>
      <c r="B57" s="22"/>
      <c r="C57" s="22"/>
      <c r="D57" s="22"/>
      <c r="E57" s="22"/>
      <c r="F57" s="22"/>
      <c r="G57" s="22"/>
      <c r="H57" s="22"/>
      <c r="I57" s="22"/>
      <c r="J57" s="22"/>
      <c r="K57" s="17">
        <f>SUM(Table1910[[#This Row],[Challenge 1]:[Challenge 50]])</f>
        <v>0</v>
      </c>
      <c r="L57" s="88">
        <f>SUM(Table1910[[#This Row],[Club 1]:[Club 50]])</f>
        <v>0</v>
      </c>
      <c r="M57" s="90">
        <f>SUM(Table1910[[#This Row],[Intra-school sports 1]:[Intra-school sports 50]])</f>
        <v>0</v>
      </c>
      <c r="N57" s="88">
        <f>SUM(Table1910[[#This Row],[Inter School sports 1]:[Inter School sports 50]])</f>
        <v>0</v>
      </c>
      <c r="O57" s="17">
        <f>COUNTIF(Table1910[[#This Row],[Community club (type name of club(s). All clubs will count as ''1'']],"*")</f>
        <v>0</v>
      </c>
      <c r="P57" s="17">
        <f>IF(OR(Table1910[[#This Row],[Total Challenges]]&gt;0,Table1910[[#This Row],[Total Ex-C Clubs]]&gt;0,Table1910[[#This Row],[Total Intra-School Sports]]&gt;0,Table1910[[#This Row],[Total Inter-School Sports]]&gt;0,Table1910[[#This Row],[Community Clubs]]&gt;0),1,0)</f>
        <v>0</v>
      </c>
      <c r="Q57" s="22"/>
      <c r="R57" s="22"/>
      <c r="S57" s="22"/>
      <c r="T57" s="22"/>
      <c r="U57" s="22"/>
      <c r="V57" s="22"/>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21"/>
    </row>
    <row r="58" spans="1:218" x14ac:dyDescent="0.25">
      <c r="A58" s="22"/>
      <c r="B58" s="22"/>
      <c r="C58" s="22"/>
      <c r="D58" s="22"/>
      <c r="E58" s="22"/>
      <c r="F58" s="22"/>
      <c r="G58" s="22"/>
      <c r="H58" s="22"/>
      <c r="I58" s="22"/>
      <c r="J58" s="22"/>
      <c r="K58" s="17">
        <f>SUM(Table1910[[#This Row],[Challenge 1]:[Challenge 50]])</f>
        <v>0</v>
      </c>
      <c r="L58" s="88">
        <f>SUM(Table1910[[#This Row],[Club 1]:[Club 50]])</f>
        <v>0</v>
      </c>
      <c r="M58" s="90">
        <f>SUM(Table1910[[#This Row],[Intra-school sports 1]:[Intra-school sports 50]])</f>
        <v>0</v>
      </c>
      <c r="N58" s="88">
        <f>SUM(Table1910[[#This Row],[Inter School sports 1]:[Inter School sports 50]])</f>
        <v>0</v>
      </c>
      <c r="O58" s="17">
        <f>COUNTIF(Table1910[[#This Row],[Community club (type name of club(s). All clubs will count as ''1'']],"*")</f>
        <v>0</v>
      </c>
      <c r="P58" s="17">
        <f>IF(OR(Table1910[[#This Row],[Total Challenges]]&gt;0,Table1910[[#This Row],[Total Ex-C Clubs]]&gt;0,Table1910[[#This Row],[Total Intra-School Sports]]&gt;0,Table1910[[#This Row],[Total Inter-School Sports]]&gt;0,Table1910[[#This Row],[Community Clubs]]&gt;0),1,0)</f>
        <v>0</v>
      </c>
      <c r="Q58" s="22"/>
      <c r="R58" s="22"/>
      <c r="S58" s="22"/>
      <c r="T58" s="22"/>
      <c r="U58" s="22"/>
      <c r="V58" s="22"/>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21"/>
    </row>
    <row r="59" spans="1:218" x14ac:dyDescent="0.25">
      <c r="A59" s="22"/>
      <c r="B59" s="22"/>
      <c r="C59" s="22"/>
      <c r="D59" s="22"/>
      <c r="E59" s="22"/>
      <c r="F59" s="22"/>
      <c r="G59" s="22"/>
      <c r="H59" s="22"/>
      <c r="I59" s="22"/>
      <c r="J59" s="22"/>
      <c r="K59" s="17">
        <f>SUM(Table1910[[#This Row],[Challenge 1]:[Challenge 50]])</f>
        <v>0</v>
      </c>
      <c r="L59" s="88">
        <f>SUM(Table1910[[#This Row],[Club 1]:[Club 50]])</f>
        <v>0</v>
      </c>
      <c r="M59" s="90">
        <f>SUM(Table1910[[#This Row],[Intra-school sports 1]:[Intra-school sports 50]])</f>
        <v>0</v>
      </c>
      <c r="N59" s="88">
        <f>SUM(Table1910[[#This Row],[Inter School sports 1]:[Inter School sports 50]])</f>
        <v>0</v>
      </c>
      <c r="O59" s="17">
        <f>COUNTIF(Table1910[[#This Row],[Community club (type name of club(s). All clubs will count as ''1'']],"*")</f>
        <v>0</v>
      </c>
      <c r="P59" s="17">
        <f>IF(OR(Table1910[[#This Row],[Total Challenges]]&gt;0,Table1910[[#This Row],[Total Ex-C Clubs]]&gt;0,Table1910[[#This Row],[Total Intra-School Sports]]&gt;0,Table1910[[#This Row],[Total Inter-School Sports]]&gt;0,Table1910[[#This Row],[Community Clubs]]&gt;0),1,0)</f>
        <v>0</v>
      </c>
      <c r="Q59" s="22"/>
      <c r="R59" s="22"/>
      <c r="S59" s="22"/>
      <c r="T59" s="22"/>
      <c r="U59" s="22"/>
      <c r="V59" s="22"/>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21"/>
    </row>
    <row r="60" spans="1:218" x14ac:dyDescent="0.25">
      <c r="A60" s="22"/>
      <c r="B60" s="22"/>
      <c r="C60" s="22"/>
      <c r="D60" s="22"/>
      <c r="E60" s="22"/>
      <c r="F60" s="22"/>
      <c r="G60" s="22"/>
      <c r="H60" s="22"/>
      <c r="I60" s="22"/>
      <c r="J60" s="22"/>
      <c r="K60" s="17">
        <f>SUM(Table1910[[#This Row],[Challenge 1]:[Challenge 50]])</f>
        <v>0</v>
      </c>
      <c r="L60" s="88">
        <f>SUM(Table1910[[#This Row],[Club 1]:[Club 50]])</f>
        <v>0</v>
      </c>
      <c r="M60" s="90">
        <f>SUM(Table1910[[#This Row],[Intra-school sports 1]:[Intra-school sports 50]])</f>
        <v>0</v>
      </c>
      <c r="N60" s="88">
        <f>SUM(Table1910[[#This Row],[Inter School sports 1]:[Inter School sports 50]])</f>
        <v>0</v>
      </c>
      <c r="O60" s="17">
        <f>COUNTIF(Table1910[[#This Row],[Community club (type name of club(s). All clubs will count as ''1'']],"*")</f>
        <v>0</v>
      </c>
      <c r="P60" s="17">
        <f>IF(OR(Table1910[[#This Row],[Total Challenges]]&gt;0,Table1910[[#This Row],[Total Ex-C Clubs]]&gt;0,Table1910[[#This Row],[Total Intra-School Sports]]&gt;0,Table1910[[#This Row],[Total Inter-School Sports]]&gt;0,Table1910[[#This Row],[Community Clubs]]&gt;0),1,0)</f>
        <v>0</v>
      </c>
      <c r="Q60" s="22"/>
      <c r="R60" s="22"/>
      <c r="S60" s="22"/>
      <c r="T60" s="22"/>
      <c r="U60" s="22"/>
      <c r="V60" s="22"/>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21"/>
    </row>
    <row r="61" spans="1:218" x14ac:dyDescent="0.25">
      <c r="A61" s="22"/>
      <c r="B61" s="22"/>
      <c r="C61" s="22"/>
      <c r="D61" s="22"/>
      <c r="E61" s="22"/>
      <c r="F61" s="22"/>
      <c r="G61" s="22"/>
      <c r="H61" s="22"/>
      <c r="I61" s="22"/>
      <c r="J61" s="22"/>
      <c r="K61" s="17">
        <f>SUM(Table1910[[#This Row],[Challenge 1]:[Challenge 50]])</f>
        <v>0</v>
      </c>
      <c r="L61" s="88">
        <f>SUM(Table1910[[#This Row],[Club 1]:[Club 50]])</f>
        <v>0</v>
      </c>
      <c r="M61" s="90">
        <f>SUM(Table1910[[#This Row],[Intra-school sports 1]:[Intra-school sports 50]])</f>
        <v>0</v>
      </c>
      <c r="N61" s="88">
        <f>SUM(Table1910[[#This Row],[Inter School sports 1]:[Inter School sports 50]])</f>
        <v>0</v>
      </c>
      <c r="O61" s="17">
        <f>COUNTIF(Table1910[[#This Row],[Community club (type name of club(s). All clubs will count as ''1'']],"*")</f>
        <v>0</v>
      </c>
      <c r="P61" s="17">
        <f>IF(OR(Table1910[[#This Row],[Total Challenges]]&gt;0,Table1910[[#This Row],[Total Ex-C Clubs]]&gt;0,Table1910[[#This Row],[Total Intra-School Sports]]&gt;0,Table1910[[#This Row],[Total Inter-School Sports]]&gt;0,Table1910[[#This Row],[Community Clubs]]&gt;0),1,0)</f>
        <v>0</v>
      </c>
      <c r="Q61" s="22"/>
      <c r="R61" s="22"/>
      <c r="S61" s="22"/>
      <c r="T61" s="22"/>
      <c r="U61" s="22"/>
      <c r="V61" s="22"/>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21"/>
    </row>
    <row r="62" spans="1:218" x14ac:dyDescent="0.25">
      <c r="A62" s="22"/>
      <c r="B62" s="22"/>
      <c r="C62" s="22"/>
      <c r="D62" s="22"/>
      <c r="E62" s="22"/>
      <c r="F62" s="22"/>
      <c r="G62" s="22"/>
      <c r="H62" s="22"/>
      <c r="I62" s="22"/>
      <c r="J62" s="22"/>
      <c r="K62" s="17">
        <f>SUM(Table1910[[#This Row],[Challenge 1]:[Challenge 50]])</f>
        <v>0</v>
      </c>
      <c r="L62" s="88">
        <f>SUM(Table1910[[#This Row],[Club 1]:[Club 50]])</f>
        <v>0</v>
      </c>
      <c r="M62" s="90">
        <f>SUM(Table1910[[#This Row],[Intra-school sports 1]:[Intra-school sports 50]])</f>
        <v>0</v>
      </c>
      <c r="N62" s="88">
        <f>SUM(Table1910[[#This Row],[Inter School sports 1]:[Inter School sports 50]])</f>
        <v>0</v>
      </c>
      <c r="O62" s="17">
        <f>COUNTIF(Table1910[[#This Row],[Community club (type name of club(s). All clubs will count as ''1'']],"*")</f>
        <v>0</v>
      </c>
      <c r="P62" s="17">
        <f>IF(OR(Table1910[[#This Row],[Total Challenges]]&gt;0,Table1910[[#This Row],[Total Ex-C Clubs]]&gt;0,Table1910[[#This Row],[Total Intra-School Sports]]&gt;0,Table1910[[#This Row],[Total Inter-School Sports]]&gt;0,Table1910[[#This Row],[Community Clubs]]&gt;0),1,0)</f>
        <v>0</v>
      </c>
      <c r="Q62" s="22"/>
      <c r="R62" s="22"/>
      <c r="S62" s="22"/>
      <c r="T62" s="22"/>
      <c r="U62" s="22"/>
      <c r="V62" s="22"/>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21"/>
    </row>
    <row r="63" spans="1:218" x14ac:dyDescent="0.25">
      <c r="A63" s="22"/>
      <c r="B63" s="22"/>
      <c r="C63" s="22"/>
      <c r="D63" s="22"/>
      <c r="E63" s="22"/>
      <c r="F63" s="22"/>
      <c r="G63" s="22"/>
      <c r="H63" s="22"/>
      <c r="I63" s="22"/>
      <c r="J63" s="22"/>
      <c r="K63" s="17">
        <f>SUM(Table1910[[#This Row],[Challenge 1]:[Challenge 50]])</f>
        <v>0</v>
      </c>
      <c r="L63" s="88">
        <f>SUM(Table1910[[#This Row],[Club 1]:[Club 50]])</f>
        <v>0</v>
      </c>
      <c r="M63" s="90">
        <f>SUM(Table1910[[#This Row],[Intra-school sports 1]:[Intra-school sports 50]])</f>
        <v>0</v>
      </c>
      <c r="N63" s="88">
        <f>SUM(Table1910[[#This Row],[Inter School sports 1]:[Inter School sports 50]])</f>
        <v>0</v>
      </c>
      <c r="O63" s="17">
        <f>COUNTIF(Table1910[[#This Row],[Community club (type name of club(s). All clubs will count as ''1'']],"*")</f>
        <v>0</v>
      </c>
      <c r="P63" s="17">
        <f>IF(OR(Table1910[[#This Row],[Total Challenges]]&gt;0,Table1910[[#This Row],[Total Ex-C Clubs]]&gt;0,Table1910[[#This Row],[Total Intra-School Sports]]&gt;0,Table1910[[#This Row],[Total Inter-School Sports]]&gt;0,Table1910[[#This Row],[Community Clubs]]&gt;0),1,0)</f>
        <v>0</v>
      </c>
      <c r="Q63" s="22"/>
      <c r="R63" s="22"/>
      <c r="S63" s="22"/>
      <c r="T63" s="22"/>
      <c r="U63" s="22"/>
      <c r="V63" s="22"/>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21"/>
    </row>
    <row r="64" spans="1:218" x14ac:dyDescent="0.25">
      <c r="A64" s="22"/>
      <c r="B64" s="22"/>
      <c r="C64" s="22"/>
      <c r="D64" s="22"/>
      <c r="E64" s="22"/>
      <c r="F64" s="22"/>
      <c r="G64" s="22"/>
      <c r="H64" s="22"/>
      <c r="I64" s="22"/>
      <c r="J64" s="22"/>
      <c r="K64" s="17">
        <f>SUM(Table1910[[#This Row],[Challenge 1]:[Challenge 50]])</f>
        <v>0</v>
      </c>
      <c r="L64" s="88">
        <f>SUM(Table1910[[#This Row],[Club 1]:[Club 50]])</f>
        <v>0</v>
      </c>
      <c r="M64" s="90">
        <f>SUM(Table1910[[#This Row],[Intra-school sports 1]:[Intra-school sports 50]])</f>
        <v>0</v>
      </c>
      <c r="N64" s="88">
        <f>SUM(Table1910[[#This Row],[Inter School sports 1]:[Inter School sports 50]])</f>
        <v>0</v>
      </c>
      <c r="O64" s="17">
        <f>COUNTIF(Table1910[[#This Row],[Community club (type name of club(s). All clubs will count as ''1'']],"*")</f>
        <v>0</v>
      </c>
      <c r="P64" s="17">
        <f>IF(OR(Table1910[[#This Row],[Total Challenges]]&gt;0,Table1910[[#This Row],[Total Ex-C Clubs]]&gt;0,Table1910[[#This Row],[Total Intra-School Sports]]&gt;0,Table1910[[#This Row],[Total Inter-School Sports]]&gt;0,Table1910[[#This Row],[Community Clubs]]&gt;0),1,0)</f>
        <v>0</v>
      </c>
      <c r="Q64" s="22"/>
      <c r="R64" s="22"/>
      <c r="S64" s="22"/>
      <c r="T64" s="22"/>
      <c r="U64" s="22"/>
      <c r="V64" s="22"/>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21"/>
    </row>
    <row r="65" spans="1:218" x14ac:dyDescent="0.25">
      <c r="A65" s="22"/>
      <c r="B65" s="22"/>
      <c r="C65" s="22"/>
      <c r="D65" s="22"/>
      <c r="E65" s="22"/>
      <c r="F65" s="22"/>
      <c r="G65" s="22"/>
      <c r="H65" s="22"/>
      <c r="I65" s="22"/>
      <c r="J65" s="22"/>
      <c r="K65" s="17">
        <f>SUM(Table1910[[#This Row],[Challenge 1]:[Challenge 50]])</f>
        <v>0</v>
      </c>
      <c r="L65" s="88">
        <f>SUM(Table1910[[#This Row],[Club 1]:[Club 50]])</f>
        <v>0</v>
      </c>
      <c r="M65" s="90">
        <f>SUM(Table1910[[#This Row],[Intra-school sports 1]:[Intra-school sports 50]])</f>
        <v>0</v>
      </c>
      <c r="N65" s="88">
        <f>SUM(Table1910[[#This Row],[Inter School sports 1]:[Inter School sports 50]])</f>
        <v>0</v>
      </c>
      <c r="O65" s="17">
        <f>COUNTIF(Table1910[[#This Row],[Community club (type name of club(s). All clubs will count as ''1'']],"*")</f>
        <v>0</v>
      </c>
      <c r="P65" s="17">
        <f>IF(OR(Table1910[[#This Row],[Total Challenges]]&gt;0,Table1910[[#This Row],[Total Ex-C Clubs]]&gt;0,Table1910[[#This Row],[Total Intra-School Sports]]&gt;0,Table1910[[#This Row],[Total Inter-School Sports]]&gt;0,Table1910[[#This Row],[Community Clubs]]&gt;0),1,0)</f>
        <v>0</v>
      </c>
      <c r="Q65" s="22"/>
      <c r="R65" s="22"/>
      <c r="S65" s="22"/>
      <c r="T65" s="22"/>
      <c r="U65" s="22"/>
      <c r="V65" s="22"/>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21"/>
    </row>
    <row r="66" spans="1:218" x14ac:dyDescent="0.25">
      <c r="A66" s="22"/>
      <c r="B66" s="22"/>
      <c r="C66" s="22"/>
      <c r="D66" s="22"/>
      <c r="E66" s="22"/>
      <c r="F66" s="22"/>
      <c r="G66" s="22"/>
      <c r="H66" s="22"/>
      <c r="I66" s="22"/>
      <c r="J66" s="22"/>
      <c r="K66" s="17">
        <f>SUM(Table1910[[#This Row],[Challenge 1]:[Challenge 50]])</f>
        <v>0</v>
      </c>
      <c r="L66" s="88">
        <f>SUM(Table1910[[#This Row],[Club 1]:[Club 50]])</f>
        <v>0</v>
      </c>
      <c r="M66" s="90">
        <f>SUM(Table1910[[#This Row],[Intra-school sports 1]:[Intra-school sports 50]])</f>
        <v>0</v>
      </c>
      <c r="N66" s="88">
        <f>SUM(Table1910[[#This Row],[Inter School sports 1]:[Inter School sports 50]])</f>
        <v>0</v>
      </c>
      <c r="O66" s="17">
        <f>COUNTIF(Table1910[[#This Row],[Community club (type name of club(s). All clubs will count as ''1'']],"*")</f>
        <v>0</v>
      </c>
      <c r="P66" s="17">
        <f>IF(OR(Table1910[[#This Row],[Total Challenges]]&gt;0,Table1910[[#This Row],[Total Ex-C Clubs]]&gt;0,Table1910[[#This Row],[Total Intra-School Sports]]&gt;0,Table1910[[#This Row],[Total Inter-School Sports]]&gt;0,Table1910[[#This Row],[Community Clubs]]&gt;0),1,0)</f>
        <v>0</v>
      </c>
      <c r="Q66" s="22"/>
      <c r="R66" s="22"/>
      <c r="S66" s="22"/>
      <c r="T66" s="22"/>
      <c r="U66" s="22"/>
      <c r="V66" s="22"/>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21"/>
    </row>
    <row r="67" spans="1:218" x14ac:dyDescent="0.25">
      <c r="A67" s="22"/>
      <c r="B67" s="22"/>
      <c r="C67" s="22"/>
      <c r="D67" s="22"/>
      <c r="E67" s="22"/>
      <c r="F67" s="22"/>
      <c r="G67" s="22"/>
      <c r="H67" s="22"/>
      <c r="I67" s="22"/>
      <c r="J67" s="22"/>
      <c r="K67" s="17">
        <f>SUM(Table1910[[#This Row],[Challenge 1]:[Challenge 50]])</f>
        <v>0</v>
      </c>
      <c r="L67" s="88">
        <f>SUM(Table1910[[#This Row],[Club 1]:[Club 50]])</f>
        <v>0</v>
      </c>
      <c r="M67" s="90">
        <f>SUM(Table1910[[#This Row],[Intra-school sports 1]:[Intra-school sports 50]])</f>
        <v>0</v>
      </c>
      <c r="N67" s="88">
        <f>SUM(Table1910[[#This Row],[Inter School sports 1]:[Inter School sports 50]])</f>
        <v>0</v>
      </c>
      <c r="O67" s="17">
        <f>COUNTIF(Table1910[[#This Row],[Community club (type name of club(s). All clubs will count as ''1'']],"*")</f>
        <v>0</v>
      </c>
      <c r="P67" s="17">
        <f>IF(OR(Table1910[[#This Row],[Total Challenges]]&gt;0,Table1910[[#This Row],[Total Ex-C Clubs]]&gt;0,Table1910[[#This Row],[Total Intra-School Sports]]&gt;0,Table1910[[#This Row],[Total Inter-School Sports]]&gt;0,Table1910[[#This Row],[Community Clubs]]&gt;0),1,0)</f>
        <v>0</v>
      </c>
      <c r="Q67" s="22"/>
      <c r="R67" s="22"/>
      <c r="S67" s="22"/>
      <c r="T67" s="22"/>
      <c r="U67" s="22"/>
      <c r="V67" s="22"/>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21"/>
    </row>
    <row r="68" spans="1:218" x14ac:dyDescent="0.25">
      <c r="A68" s="22"/>
      <c r="B68" s="22"/>
      <c r="C68" s="22"/>
      <c r="D68" s="22"/>
      <c r="E68" s="22"/>
      <c r="F68" s="22"/>
      <c r="G68" s="22"/>
      <c r="H68" s="22"/>
      <c r="I68" s="22"/>
      <c r="J68" s="22"/>
      <c r="K68" s="17">
        <f>SUM(Table1910[[#This Row],[Challenge 1]:[Challenge 50]])</f>
        <v>0</v>
      </c>
      <c r="L68" s="88">
        <f>SUM(Table1910[[#This Row],[Club 1]:[Club 50]])</f>
        <v>0</v>
      </c>
      <c r="M68" s="90">
        <f>SUM(Table1910[[#This Row],[Intra-school sports 1]:[Intra-school sports 50]])</f>
        <v>0</v>
      </c>
      <c r="N68" s="88">
        <f>SUM(Table1910[[#This Row],[Inter School sports 1]:[Inter School sports 50]])</f>
        <v>0</v>
      </c>
      <c r="O68" s="17">
        <f>COUNTIF(Table1910[[#This Row],[Community club (type name of club(s). All clubs will count as ''1'']],"*")</f>
        <v>0</v>
      </c>
      <c r="P68" s="17">
        <f>IF(OR(Table1910[[#This Row],[Total Challenges]]&gt;0,Table1910[[#This Row],[Total Ex-C Clubs]]&gt;0,Table1910[[#This Row],[Total Intra-School Sports]]&gt;0,Table1910[[#This Row],[Total Inter-School Sports]]&gt;0,Table1910[[#This Row],[Community Clubs]]&gt;0),1,0)</f>
        <v>0</v>
      </c>
      <c r="Q68" s="22"/>
      <c r="R68" s="22"/>
      <c r="S68" s="22"/>
      <c r="T68" s="22"/>
      <c r="U68" s="22"/>
      <c r="V68" s="22"/>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21"/>
    </row>
    <row r="69" spans="1:218" x14ac:dyDescent="0.25">
      <c r="A69" s="22"/>
      <c r="B69" s="22"/>
      <c r="C69" s="22"/>
      <c r="D69" s="22"/>
      <c r="E69" s="22"/>
      <c r="F69" s="22"/>
      <c r="G69" s="22"/>
      <c r="H69" s="22"/>
      <c r="I69" s="22"/>
      <c r="J69" s="22"/>
      <c r="K69" s="17">
        <f>SUM(Table1910[[#This Row],[Challenge 1]:[Challenge 50]])</f>
        <v>0</v>
      </c>
      <c r="L69" s="88">
        <f>SUM(Table1910[[#This Row],[Club 1]:[Club 50]])</f>
        <v>0</v>
      </c>
      <c r="M69" s="90">
        <f>SUM(Table1910[[#This Row],[Intra-school sports 1]:[Intra-school sports 50]])</f>
        <v>0</v>
      </c>
      <c r="N69" s="88">
        <f>SUM(Table1910[[#This Row],[Inter School sports 1]:[Inter School sports 50]])</f>
        <v>0</v>
      </c>
      <c r="O69" s="17">
        <f>COUNTIF(Table1910[[#This Row],[Community club (type name of club(s). All clubs will count as ''1'']],"*")</f>
        <v>0</v>
      </c>
      <c r="P69" s="17">
        <f>IF(OR(Table1910[[#This Row],[Total Challenges]]&gt;0,Table1910[[#This Row],[Total Ex-C Clubs]]&gt;0,Table1910[[#This Row],[Total Intra-School Sports]]&gt;0,Table1910[[#This Row],[Total Inter-School Sports]]&gt;0,Table1910[[#This Row],[Community Clubs]]&gt;0),1,0)</f>
        <v>0</v>
      </c>
      <c r="Q69" s="22"/>
      <c r="R69" s="22"/>
      <c r="S69" s="22"/>
      <c r="T69" s="22"/>
      <c r="U69" s="22"/>
      <c r="V69" s="22"/>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21"/>
    </row>
    <row r="70" spans="1:218" x14ac:dyDescent="0.25">
      <c r="A70" s="22"/>
      <c r="B70" s="22"/>
      <c r="C70" s="22"/>
      <c r="D70" s="22"/>
      <c r="E70" s="22"/>
      <c r="F70" s="22"/>
      <c r="G70" s="22"/>
      <c r="H70" s="22"/>
      <c r="I70" s="22"/>
      <c r="J70" s="22"/>
      <c r="K70" s="17">
        <f>SUM(Table1910[[#This Row],[Challenge 1]:[Challenge 50]])</f>
        <v>0</v>
      </c>
      <c r="L70" s="88">
        <f>SUM(Table1910[[#This Row],[Club 1]:[Club 50]])</f>
        <v>0</v>
      </c>
      <c r="M70" s="90">
        <f>SUM(Table1910[[#This Row],[Intra-school sports 1]:[Intra-school sports 50]])</f>
        <v>0</v>
      </c>
      <c r="N70" s="88">
        <f>SUM(Table1910[[#This Row],[Inter School sports 1]:[Inter School sports 50]])</f>
        <v>0</v>
      </c>
      <c r="O70" s="17">
        <f>COUNTIF(Table1910[[#This Row],[Community club (type name of club(s). All clubs will count as ''1'']],"*")</f>
        <v>0</v>
      </c>
      <c r="P70" s="17">
        <f>IF(OR(Table1910[[#This Row],[Total Challenges]]&gt;0,Table1910[[#This Row],[Total Ex-C Clubs]]&gt;0,Table1910[[#This Row],[Total Intra-School Sports]]&gt;0,Table1910[[#This Row],[Total Inter-School Sports]]&gt;0,Table1910[[#This Row],[Community Clubs]]&gt;0),1,0)</f>
        <v>0</v>
      </c>
      <c r="Q70" s="22"/>
      <c r="R70" s="22"/>
      <c r="S70" s="22"/>
      <c r="T70" s="22"/>
      <c r="U70" s="22"/>
      <c r="V70" s="22"/>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21"/>
    </row>
    <row r="71" spans="1:218" x14ac:dyDescent="0.25">
      <c r="A71" s="22"/>
      <c r="B71" s="22"/>
      <c r="C71" s="22"/>
      <c r="D71" s="22"/>
      <c r="E71" s="22"/>
      <c r="F71" s="22"/>
      <c r="G71" s="22"/>
      <c r="H71" s="22"/>
      <c r="I71" s="22"/>
      <c r="J71" s="22"/>
      <c r="K71" s="17">
        <f>SUM(Table1910[[#This Row],[Challenge 1]:[Challenge 50]])</f>
        <v>0</v>
      </c>
      <c r="L71" s="88">
        <f>SUM(Table1910[[#This Row],[Club 1]:[Club 50]])</f>
        <v>0</v>
      </c>
      <c r="M71" s="90">
        <f>SUM(Table1910[[#This Row],[Intra-school sports 1]:[Intra-school sports 50]])</f>
        <v>0</v>
      </c>
      <c r="N71" s="88">
        <f>SUM(Table1910[[#This Row],[Inter School sports 1]:[Inter School sports 50]])</f>
        <v>0</v>
      </c>
      <c r="O71" s="17">
        <f>COUNTIF(Table1910[[#This Row],[Community club (type name of club(s). All clubs will count as ''1'']],"*")</f>
        <v>0</v>
      </c>
      <c r="P71" s="17">
        <f>IF(OR(Table1910[[#This Row],[Total Challenges]]&gt;0,Table1910[[#This Row],[Total Ex-C Clubs]]&gt;0,Table1910[[#This Row],[Total Intra-School Sports]]&gt;0,Table1910[[#This Row],[Total Inter-School Sports]]&gt;0,Table1910[[#This Row],[Community Clubs]]&gt;0),1,0)</f>
        <v>0</v>
      </c>
      <c r="Q71" s="22"/>
      <c r="R71" s="22"/>
      <c r="S71" s="22"/>
      <c r="T71" s="22"/>
      <c r="U71" s="22"/>
      <c r="V71" s="22"/>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21"/>
    </row>
    <row r="72" spans="1:218" x14ac:dyDescent="0.25">
      <c r="A72" s="22"/>
      <c r="B72" s="22"/>
      <c r="C72" s="22"/>
      <c r="D72" s="22"/>
      <c r="E72" s="22"/>
      <c r="F72" s="22"/>
      <c r="G72" s="22"/>
      <c r="H72" s="22"/>
      <c r="I72" s="22"/>
      <c r="J72" s="22"/>
      <c r="K72" s="17">
        <f>SUM(Table1910[[#This Row],[Challenge 1]:[Challenge 50]])</f>
        <v>0</v>
      </c>
      <c r="L72" s="88">
        <f>SUM(Table1910[[#This Row],[Club 1]:[Club 50]])</f>
        <v>0</v>
      </c>
      <c r="M72" s="90">
        <f>SUM(Table1910[[#This Row],[Intra-school sports 1]:[Intra-school sports 50]])</f>
        <v>0</v>
      </c>
      <c r="N72" s="88">
        <f>SUM(Table1910[[#This Row],[Inter School sports 1]:[Inter School sports 50]])</f>
        <v>0</v>
      </c>
      <c r="O72" s="17">
        <f>COUNTIF(Table1910[[#This Row],[Community club (type name of club(s). All clubs will count as ''1'']],"*")</f>
        <v>0</v>
      </c>
      <c r="P72" s="17">
        <f>IF(OR(Table1910[[#This Row],[Total Challenges]]&gt;0,Table1910[[#This Row],[Total Ex-C Clubs]]&gt;0,Table1910[[#This Row],[Total Intra-School Sports]]&gt;0,Table1910[[#This Row],[Total Inter-School Sports]]&gt;0,Table1910[[#This Row],[Community Clubs]]&gt;0),1,0)</f>
        <v>0</v>
      </c>
      <c r="Q72" s="22"/>
      <c r="R72" s="22"/>
      <c r="S72" s="22"/>
      <c r="T72" s="22"/>
      <c r="U72" s="22"/>
      <c r="V72" s="22"/>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21"/>
    </row>
    <row r="73" spans="1:218" x14ac:dyDescent="0.25">
      <c r="A73" s="22"/>
      <c r="B73" s="22"/>
      <c r="C73" s="22"/>
      <c r="D73" s="22"/>
      <c r="E73" s="22"/>
      <c r="F73" s="22"/>
      <c r="G73" s="22"/>
      <c r="H73" s="22"/>
      <c r="I73" s="22"/>
      <c r="J73" s="22"/>
      <c r="K73" s="17">
        <f>SUM(Table1910[[#This Row],[Challenge 1]:[Challenge 50]])</f>
        <v>0</v>
      </c>
      <c r="L73" s="88">
        <f>SUM(Table1910[[#This Row],[Club 1]:[Club 50]])</f>
        <v>0</v>
      </c>
      <c r="M73" s="90">
        <f>SUM(Table1910[[#This Row],[Intra-school sports 1]:[Intra-school sports 50]])</f>
        <v>0</v>
      </c>
      <c r="N73" s="88">
        <f>SUM(Table1910[[#This Row],[Inter School sports 1]:[Inter School sports 50]])</f>
        <v>0</v>
      </c>
      <c r="O73" s="17">
        <f>COUNTIF(Table1910[[#This Row],[Community club (type name of club(s). All clubs will count as ''1'']],"*")</f>
        <v>0</v>
      </c>
      <c r="P73" s="17">
        <f>IF(OR(Table1910[[#This Row],[Total Challenges]]&gt;0,Table1910[[#This Row],[Total Ex-C Clubs]]&gt;0,Table1910[[#This Row],[Total Intra-School Sports]]&gt;0,Table1910[[#This Row],[Total Inter-School Sports]]&gt;0,Table1910[[#This Row],[Community Clubs]]&gt;0),1,0)</f>
        <v>0</v>
      </c>
      <c r="Q73" s="22"/>
      <c r="R73" s="22"/>
      <c r="S73" s="22"/>
      <c r="T73" s="22"/>
      <c r="U73" s="22"/>
      <c r="V73" s="22"/>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21"/>
    </row>
    <row r="74" spans="1:218" x14ac:dyDescent="0.25">
      <c r="A74" s="22"/>
      <c r="B74" s="22"/>
      <c r="C74" s="22"/>
      <c r="D74" s="22"/>
      <c r="E74" s="22"/>
      <c r="F74" s="22"/>
      <c r="G74" s="22"/>
      <c r="H74" s="22"/>
      <c r="I74" s="22"/>
      <c r="J74" s="22"/>
      <c r="K74" s="17">
        <f>SUM(Table1910[[#This Row],[Challenge 1]:[Challenge 50]])</f>
        <v>0</v>
      </c>
      <c r="L74" s="88">
        <f>SUM(Table1910[[#This Row],[Club 1]:[Club 50]])</f>
        <v>0</v>
      </c>
      <c r="M74" s="90">
        <f>SUM(Table1910[[#This Row],[Intra-school sports 1]:[Intra-school sports 50]])</f>
        <v>0</v>
      </c>
      <c r="N74" s="88">
        <f>SUM(Table1910[[#This Row],[Inter School sports 1]:[Inter School sports 50]])</f>
        <v>0</v>
      </c>
      <c r="O74" s="17">
        <f>COUNTIF(Table1910[[#This Row],[Community club (type name of club(s). All clubs will count as ''1'']],"*")</f>
        <v>0</v>
      </c>
      <c r="P74" s="17">
        <f>IF(OR(Table1910[[#This Row],[Total Challenges]]&gt;0,Table1910[[#This Row],[Total Ex-C Clubs]]&gt;0,Table1910[[#This Row],[Total Intra-School Sports]]&gt;0,Table1910[[#This Row],[Total Inter-School Sports]]&gt;0,Table1910[[#This Row],[Community Clubs]]&gt;0),1,0)</f>
        <v>0</v>
      </c>
      <c r="Q74" s="22"/>
      <c r="R74" s="22"/>
      <c r="S74" s="22"/>
      <c r="T74" s="22"/>
      <c r="U74" s="22"/>
      <c r="V74" s="22"/>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21"/>
    </row>
    <row r="75" spans="1:218" x14ac:dyDescent="0.25">
      <c r="A75" s="22"/>
      <c r="B75" s="22"/>
      <c r="C75" s="22"/>
      <c r="D75" s="22"/>
      <c r="E75" s="22"/>
      <c r="F75" s="22"/>
      <c r="G75" s="22"/>
      <c r="H75" s="22"/>
      <c r="I75" s="22"/>
      <c r="J75" s="22"/>
      <c r="K75" s="17">
        <f>SUM(Table1910[[#This Row],[Challenge 1]:[Challenge 50]])</f>
        <v>0</v>
      </c>
      <c r="L75" s="88">
        <f>SUM(Table1910[[#This Row],[Club 1]:[Club 50]])</f>
        <v>0</v>
      </c>
      <c r="M75" s="90">
        <f>SUM(Table1910[[#This Row],[Intra-school sports 1]:[Intra-school sports 50]])</f>
        <v>0</v>
      </c>
      <c r="N75" s="88">
        <f>SUM(Table1910[[#This Row],[Inter School sports 1]:[Inter School sports 50]])</f>
        <v>0</v>
      </c>
      <c r="O75" s="17">
        <f>COUNTIF(Table1910[[#This Row],[Community club (type name of club(s). All clubs will count as ''1'']],"*")</f>
        <v>0</v>
      </c>
      <c r="P75" s="17">
        <f>IF(OR(Table1910[[#This Row],[Total Challenges]]&gt;0,Table1910[[#This Row],[Total Ex-C Clubs]]&gt;0,Table1910[[#This Row],[Total Intra-School Sports]]&gt;0,Table1910[[#This Row],[Total Inter-School Sports]]&gt;0,Table1910[[#This Row],[Community Clubs]]&gt;0),1,0)</f>
        <v>0</v>
      </c>
      <c r="Q75" s="22"/>
      <c r="R75" s="22"/>
      <c r="S75" s="22"/>
      <c r="T75" s="22"/>
      <c r="U75" s="22"/>
      <c r="V75" s="22"/>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21"/>
    </row>
    <row r="76" spans="1:218" x14ac:dyDescent="0.25">
      <c r="A76" s="22"/>
      <c r="B76" s="22"/>
      <c r="C76" s="22"/>
      <c r="D76" s="22"/>
      <c r="E76" s="22"/>
      <c r="F76" s="22"/>
      <c r="G76" s="22"/>
      <c r="H76" s="22"/>
      <c r="I76" s="22"/>
      <c r="J76" s="22"/>
      <c r="K76" s="17">
        <f>SUM(Table1910[[#This Row],[Challenge 1]:[Challenge 50]])</f>
        <v>0</v>
      </c>
      <c r="L76" s="88">
        <f>SUM(Table1910[[#This Row],[Club 1]:[Club 50]])</f>
        <v>0</v>
      </c>
      <c r="M76" s="90">
        <f>SUM(Table1910[[#This Row],[Intra-school sports 1]:[Intra-school sports 50]])</f>
        <v>0</v>
      </c>
      <c r="N76" s="88">
        <f>SUM(Table1910[[#This Row],[Inter School sports 1]:[Inter School sports 50]])</f>
        <v>0</v>
      </c>
      <c r="O76" s="17">
        <f>COUNTIF(Table1910[[#This Row],[Community club (type name of club(s). All clubs will count as ''1'']],"*")</f>
        <v>0</v>
      </c>
      <c r="P76" s="17">
        <f>IF(OR(Table1910[[#This Row],[Total Challenges]]&gt;0,Table1910[[#This Row],[Total Ex-C Clubs]]&gt;0,Table1910[[#This Row],[Total Intra-School Sports]]&gt;0,Table1910[[#This Row],[Total Inter-School Sports]]&gt;0,Table1910[[#This Row],[Community Clubs]]&gt;0),1,0)</f>
        <v>0</v>
      </c>
      <c r="Q76" s="22"/>
      <c r="R76" s="22"/>
      <c r="S76" s="22"/>
      <c r="T76" s="22"/>
      <c r="U76" s="22"/>
      <c r="V76" s="22"/>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21"/>
    </row>
    <row r="77" spans="1:218" x14ac:dyDescent="0.25">
      <c r="A77" s="22"/>
      <c r="B77" s="22"/>
      <c r="C77" s="22"/>
      <c r="D77" s="22"/>
      <c r="E77" s="22"/>
      <c r="F77" s="22"/>
      <c r="G77" s="22"/>
      <c r="H77" s="22"/>
      <c r="I77" s="22"/>
      <c r="J77" s="22"/>
      <c r="K77" s="17">
        <f>SUM(Table1910[[#This Row],[Challenge 1]:[Challenge 50]])</f>
        <v>0</v>
      </c>
      <c r="L77" s="88">
        <f>SUM(Table1910[[#This Row],[Club 1]:[Club 50]])</f>
        <v>0</v>
      </c>
      <c r="M77" s="90">
        <f>SUM(Table1910[[#This Row],[Intra-school sports 1]:[Intra-school sports 50]])</f>
        <v>0</v>
      </c>
      <c r="N77" s="88">
        <f>SUM(Table1910[[#This Row],[Inter School sports 1]:[Inter School sports 50]])</f>
        <v>0</v>
      </c>
      <c r="O77" s="17">
        <f>COUNTIF(Table1910[[#This Row],[Community club (type name of club(s). All clubs will count as ''1'']],"*")</f>
        <v>0</v>
      </c>
      <c r="P77" s="17">
        <f>IF(OR(Table1910[[#This Row],[Total Challenges]]&gt;0,Table1910[[#This Row],[Total Ex-C Clubs]]&gt;0,Table1910[[#This Row],[Total Intra-School Sports]]&gt;0,Table1910[[#This Row],[Total Inter-School Sports]]&gt;0,Table1910[[#This Row],[Community Clubs]]&gt;0),1,0)</f>
        <v>0</v>
      </c>
      <c r="Q77" s="22"/>
      <c r="R77" s="22"/>
      <c r="S77" s="22"/>
      <c r="T77" s="22"/>
      <c r="U77" s="22"/>
      <c r="V77" s="22"/>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21"/>
    </row>
    <row r="78" spans="1:218" x14ac:dyDescent="0.25">
      <c r="A78" s="22"/>
      <c r="B78" s="22"/>
      <c r="C78" s="22"/>
      <c r="D78" s="22"/>
      <c r="E78" s="22"/>
      <c r="F78" s="22"/>
      <c r="G78" s="22"/>
      <c r="H78" s="22"/>
      <c r="I78" s="22"/>
      <c r="J78" s="22"/>
      <c r="K78" s="17">
        <f>SUM(Table1910[[#This Row],[Challenge 1]:[Challenge 50]])</f>
        <v>0</v>
      </c>
      <c r="L78" s="88">
        <f>SUM(Table1910[[#This Row],[Club 1]:[Club 50]])</f>
        <v>0</v>
      </c>
      <c r="M78" s="90">
        <f>SUM(Table1910[[#This Row],[Intra-school sports 1]:[Intra-school sports 50]])</f>
        <v>0</v>
      </c>
      <c r="N78" s="88">
        <f>SUM(Table1910[[#This Row],[Inter School sports 1]:[Inter School sports 50]])</f>
        <v>0</v>
      </c>
      <c r="O78" s="17">
        <f>COUNTIF(Table1910[[#This Row],[Community club (type name of club(s). All clubs will count as ''1'']],"*")</f>
        <v>0</v>
      </c>
      <c r="P78" s="17">
        <f>IF(OR(Table1910[[#This Row],[Total Challenges]]&gt;0,Table1910[[#This Row],[Total Ex-C Clubs]]&gt;0,Table1910[[#This Row],[Total Intra-School Sports]]&gt;0,Table1910[[#This Row],[Total Inter-School Sports]]&gt;0,Table1910[[#This Row],[Community Clubs]]&gt;0),1,0)</f>
        <v>0</v>
      </c>
      <c r="Q78" s="22"/>
      <c r="R78" s="22"/>
      <c r="S78" s="22"/>
      <c r="T78" s="22"/>
      <c r="U78" s="22"/>
      <c r="V78" s="22"/>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21"/>
    </row>
    <row r="79" spans="1:218" x14ac:dyDescent="0.25">
      <c r="A79" s="22"/>
      <c r="B79" s="22"/>
      <c r="C79" s="22"/>
      <c r="D79" s="22"/>
      <c r="E79" s="22"/>
      <c r="F79" s="22"/>
      <c r="G79" s="22"/>
      <c r="H79" s="22"/>
      <c r="I79" s="22"/>
      <c r="J79" s="22"/>
      <c r="K79" s="17">
        <f>SUM(Table1910[[#This Row],[Challenge 1]:[Challenge 50]])</f>
        <v>0</v>
      </c>
      <c r="L79" s="88">
        <f>SUM(Table1910[[#This Row],[Club 1]:[Club 50]])</f>
        <v>0</v>
      </c>
      <c r="M79" s="90">
        <f>SUM(Table1910[[#This Row],[Intra-school sports 1]:[Intra-school sports 50]])</f>
        <v>0</v>
      </c>
      <c r="N79" s="88">
        <f>SUM(Table1910[[#This Row],[Inter School sports 1]:[Inter School sports 50]])</f>
        <v>0</v>
      </c>
      <c r="O79" s="17">
        <f>COUNTIF(Table1910[[#This Row],[Community club (type name of club(s). All clubs will count as ''1'']],"*")</f>
        <v>0</v>
      </c>
      <c r="P79" s="17">
        <f>IF(OR(Table1910[[#This Row],[Total Challenges]]&gt;0,Table1910[[#This Row],[Total Ex-C Clubs]]&gt;0,Table1910[[#This Row],[Total Intra-School Sports]]&gt;0,Table1910[[#This Row],[Total Inter-School Sports]]&gt;0,Table1910[[#This Row],[Community Clubs]]&gt;0),1,0)</f>
        <v>0</v>
      </c>
      <c r="Q79" s="22"/>
      <c r="R79" s="22"/>
      <c r="S79" s="22"/>
      <c r="T79" s="22"/>
      <c r="U79" s="22"/>
      <c r="V79" s="22"/>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21"/>
    </row>
    <row r="80" spans="1:218" x14ac:dyDescent="0.25">
      <c r="A80" s="22"/>
      <c r="B80" s="22"/>
      <c r="C80" s="22"/>
      <c r="D80" s="22"/>
      <c r="E80" s="22"/>
      <c r="F80" s="22"/>
      <c r="G80" s="22"/>
      <c r="H80" s="22"/>
      <c r="I80" s="22"/>
      <c r="J80" s="22"/>
      <c r="K80" s="17">
        <f>SUM(Table1910[[#This Row],[Challenge 1]:[Challenge 50]])</f>
        <v>0</v>
      </c>
      <c r="L80" s="88">
        <f>SUM(Table1910[[#This Row],[Club 1]:[Club 50]])</f>
        <v>0</v>
      </c>
      <c r="M80" s="90">
        <f>SUM(Table1910[[#This Row],[Intra-school sports 1]:[Intra-school sports 50]])</f>
        <v>0</v>
      </c>
      <c r="N80" s="88">
        <f>SUM(Table1910[[#This Row],[Inter School sports 1]:[Inter School sports 50]])</f>
        <v>0</v>
      </c>
      <c r="O80" s="17">
        <f>COUNTIF(Table1910[[#This Row],[Community club (type name of club(s). All clubs will count as ''1'']],"*")</f>
        <v>0</v>
      </c>
      <c r="P80" s="17">
        <f>IF(OR(Table1910[[#This Row],[Total Challenges]]&gt;0,Table1910[[#This Row],[Total Ex-C Clubs]]&gt;0,Table1910[[#This Row],[Total Intra-School Sports]]&gt;0,Table1910[[#This Row],[Total Inter-School Sports]]&gt;0,Table1910[[#This Row],[Community Clubs]]&gt;0),1,0)</f>
        <v>0</v>
      </c>
      <c r="Q80" s="22"/>
      <c r="R80" s="22"/>
      <c r="S80" s="22"/>
      <c r="T80" s="22"/>
      <c r="U80" s="22"/>
      <c r="V80" s="22"/>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21"/>
    </row>
    <row r="81" spans="1:218" x14ac:dyDescent="0.25">
      <c r="A81" s="22"/>
      <c r="B81" s="22"/>
      <c r="C81" s="22"/>
      <c r="D81" s="22"/>
      <c r="E81" s="22"/>
      <c r="F81" s="22"/>
      <c r="G81" s="22"/>
      <c r="H81" s="22"/>
      <c r="I81" s="22"/>
      <c r="J81" s="22"/>
      <c r="K81" s="17">
        <f>SUM(Table1910[[#This Row],[Challenge 1]:[Challenge 50]])</f>
        <v>0</v>
      </c>
      <c r="L81" s="88">
        <f>SUM(Table1910[[#This Row],[Club 1]:[Club 50]])</f>
        <v>0</v>
      </c>
      <c r="M81" s="90">
        <f>SUM(Table1910[[#This Row],[Intra-school sports 1]:[Intra-school sports 50]])</f>
        <v>0</v>
      </c>
      <c r="N81" s="88">
        <f>SUM(Table1910[[#This Row],[Inter School sports 1]:[Inter School sports 50]])</f>
        <v>0</v>
      </c>
      <c r="O81" s="17">
        <f>COUNTIF(Table1910[[#This Row],[Community club (type name of club(s). All clubs will count as ''1'']],"*")</f>
        <v>0</v>
      </c>
      <c r="P81" s="17">
        <f>IF(OR(Table1910[[#This Row],[Total Challenges]]&gt;0,Table1910[[#This Row],[Total Ex-C Clubs]]&gt;0,Table1910[[#This Row],[Total Intra-School Sports]]&gt;0,Table1910[[#This Row],[Total Inter-School Sports]]&gt;0,Table1910[[#This Row],[Community Clubs]]&gt;0),1,0)</f>
        <v>0</v>
      </c>
      <c r="Q81" s="22"/>
      <c r="R81" s="22"/>
      <c r="S81" s="22"/>
      <c r="T81" s="22"/>
      <c r="U81" s="22"/>
      <c r="V81" s="22"/>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21"/>
    </row>
    <row r="82" spans="1:218" x14ac:dyDescent="0.25">
      <c r="A82" s="22"/>
      <c r="B82" s="22"/>
      <c r="C82" s="22"/>
      <c r="D82" s="22"/>
      <c r="E82" s="22"/>
      <c r="F82" s="22"/>
      <c r="G82" s="22"/>
      <c r="H82" s="22"/>
      <c r="I82" s="22"/>
      <c r="J82" s="22"/>
      <c r="K82" s="17">
        <f>SUM(Table1910[[#This Row],[Challenge 1]:[Challenge 50]])</f>
        <v>0</v>
      </c>
      <c r="L82" s="88">
        <f>SUM(Table1910[[#This Row],[Club 1]:[Club 50]])</f>
        <v>0</v>
      </c>
      <c r="M82" s="90">
        <f>SUM(Table1910[[#This Row],[Intra-school sports 1]:[Intra-school sports 50]])</f>
        <v>0</v>
      </c>
      <c r="N82" s="88">
        <f>SUM(Table1910[[#This Row],[Inter School sports 1]:[Inter School sports 50]])</f>
        <v>0</v>
      </c>
      <c r="O82" s="17">
        <f>COUNTIF(Table1910[[#This Row],[Community club (type name of club(s). All clubs will count as ''1'']],"*")</f>
        <v>0</v>
      </c>
      <c r="P82" s="17">
        <f>IF(OR(Table1910[[#This Row],[Total Challenges]]&gt;0,Table1910[[#This Row],[Total Ex-C Clubs]]&gt;0,Table1910[[#This Row],[Total Intra-School Sports]]&gt;0,Table1910[[#This Row],[Total Inter-School Sports]]&gt;0,Table1910[[#This Row],[Community Clubs]]&gt;0),1,0)</f>
        <v>0</v>
      </c>
      <c r="Q82" s="22"/>
      <c r="R82" s="22"/>
      <c r="S82" s="22"/>
      <c r="T82" s="22"/>
      <c r="U82" s="22"/>
      <c r="V82" s="22"/>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21"/>
    </row>
    <row r="83" spans="1:218" x14ac:dyDescent="0.25">
      <c r="A83" s="22"/>
      <c r="B83" s="22"/>
      <c r="C83" s="22"/>
      <c r="D83" s="22"/>
      <c r="E83" s="22"/>
      <c r="F83" s="22"/>
      <c r="G83" s="22"/>
      <c r="H83" s="22"/>
      <c r="I83" s="22"/>
      <c r="J83" s="22"/>
      <c r="K83" s="17">
        <f>SUM(Table1910[[#This Row],[Challenge 1]:[Challenge 50]])</f>
        <v>0</v>
      </c>
      <c r="L83" s="88">
        <f>SUM(Table1910[[#This Row],[Club 1]:[Club 50]])</f>
        <v>0</v>
      </c>
      <c r="M83" s="90">
        <f>SUM(Table1910[[#This Row],[Intra-school sports 1]:[Intra-school sports 50]])</f>
        <v>0</v>
      </c>
      <c r="N83" s="88">
        <f>SUM(Table1910[[#This Row],[Inter School sports 1]:[Inter School sports 50]])</f>
        <v>0</v>
      </c>
      <c r="O83" s="17">
        <f>COUNTIF(Table1910[[#This Row],[Community club (type name of club(s). All clubs will count as ''1'']],"*")</f>
        <v>0</v>
      </c>
      <c r="P83" s="17">
        <f>IF(OR(Table1910[[#This Row],[Total Challenges]]&gt;0,Table1910[[#This Row],[Total Ex-C Clubs]]&gt;0,Table1910[[#This Row],[Total Intra-School Sports]]&gt;0,Table1910[[#This Row],[Total Inter-School Sports]]&gt;0,Table1910[[#This Row],[Community Clubs]]&gt;0),1,0)</f>
        <v>0</v>
      </c>
      <c r="Q83" s="22"/>
      <c r="R83" s="22"/>
      <c r="S83" s="22"/>
      <c r="T83" s="22"/>
      <c r="U83" s="22"/>
      <c r="V83" s="22"/>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21"/>
    </row>
    <row r="84" spans="1:218" x14ac:dyDescent="0.25">
      <c r="A84" s="22"/>
      <c r="B84" s="22"/>
      <c r="C84" s="22"/>
      <c r="D84" s="22"/>
      <c r="E84" s="22"/>
      <c r="F84" s="22"/>
      <c r="G84" s="22"/>
      <c r="H84" s="22"/>
      <c r="I84" s="22"/>
      <c r="J84" s="22"/>
      <c r="K84" s="17">
        <f>SUM(Table1910[[#This Row],[Challenge 1]:[Challenge 50]])</f>
        <v>0</v>
      </c>
      <c r="L84" s="88">
        <f>SUM(Table1910[[#This Row],[Club 1]:[Club 50]])</f>
        <v>0</v>
      </c>
      <c r="M84" s="90">
        <f>SUM(Table1910[[#This Row],[Intra-school sports 1]:[Intra-school sports 50]])</f>
        <v>0</v>
      </c>
      <c r="N84" s="88">
        <f>SUM(Table1910[[#This Row],[Inter School sports 1]:[Inter School sports 50]])</f>
        <v>0</v>
      </c>
      <c r="O84" s="17">
        <f>COUNTIF(Table1910[[#This Row],[Community club (type name of club(s). All clubs will count as ''1'']],"*")</f>
        <v>0</v>
      </c>
      <c r="P84" s="17">
        <f>IF(OR(Table1910[[#This Row],[Total Challenges]]&gt;0,Table1910[[#This Row],[Total Ex-C Clubs]]&gt;0,Table1910[[#This Row],[Total Intra-School Sports]]&gt;0,Table1910[[#This Row],[Total Inter-School Sports]]&gt;0,Table1910[[#This Row],[Community Clubs]]&gt;0),1,0)</f>
        <v>0</v>
      </c>
      <c r="Q84" s="22"/>
      <c r="R84" s="22"/>
      <c r="S84" s="22"/>
      <c r="T84" s="22"/>
      <c r="U84" s="22"/>
      <c r="V84" s="22"/>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21"/>
    </row>
    <row r="85" spans="1:218" x14ac:dyDescent="0.25">
      <c r="A85" s="22"/>
      <c r="B85" s="22"/>
      <c r="C85" s="22"/>
      <c r="D85" s="22"/>
      <c r="E85" s="22"/>
      <c r="F85" s="22"/>
      <c r="G85" s="22"/>
      <c r="H85" s="22"/>
      <c r="I85" s="22"/>
      <c r="J85" s="22"/>
      <c r="K85" s="17">
        <f>SUM(Table1910[[#This Row],[Challenge 1]:[Challenge 50]])</f>
        <v>0</v>
      </c>
      <c r="L85" s="88">
        <f>SUM(Table1910[[#This Row],[Club 1]:[Club 50]])</f>
        <v>0</v>
      </c>
      <c r="M85" s="90">
        <f>SUM(Table1910[[#This Row],[Intra-school sports 1]:[Intra-school sports 50]])</f>
        <v>0</v>
      </c>
      <c r="N85" s="88">
        <f>SUM(Table1910[[#This Row],[Inter School sports 1]:[Inter School sports 50]])</f>
        <v>0</v>
      </c>
      <c r="O85" s="17">
        <f>COUNTIF(Table1910[[#This Row],[Community club (type name of club(s). All clubs will count as ''1'']],"*")</f>
        <v>0</v>
      </c>
      <c r="P85" s="17">
        <f>IF(OR(Table1910[[#This Row],[Total Challenges]]&gt;0,Table1910[[#This Row],[Total Ex-C Clubs]]&gt;0,Table1910[[#This Row],[Total Intra-School Sports]]&gt;0,Table1910[[#This Row],[Total Inter-School Sports]]&gt;0,Table1910[[#This Row],[Community Clubs]]&gt;0),1,0)</f>
        <v>0</v>
      </c>
      <c r="Q85" s="22"/>
      <c r="R85" s="22"/>
      <c r="S85" s="22"/>
      <c r="T85" s="22"/>
      <c r="U85" s="22"/>
      <c r="V85" s="22"/>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21"/>
    </row>
    <row r="86" spans="1:218" x14ac:dyDescent="0.25">
      <c r="A86" s="22"/>
      <c r="B86" s="22"/>
      <c r="C86" s="22"/>
      <c r="D86" s="22"/>
      <c r="E86" s="22"/>
      <c r="F86" s="22"/>
      <c r="G86" s="22"/>
      <c r="H86" s="22"/>
      <c r="I86" s="22"/>
      <c r="J86" s="22"/>
      <c r="K86" s="17">
        <f>SUM(Table1910[[#This Row],[Challenge 1]:[Challenge 50]])</f>
        <v>0</v>
      </c>
      <c r="L86" s="88">
        <f>SUM(Table1910[[#This Row],[Club 1]:[Club 50]])</f>
        <v>0</v>
      </c>
      <c r="M86" s="90">
        <f>SUM(Table1910[[#This Row],[Intra-school sports 1]:[Intra-school sports 50]])</f>
        <v>0</v>
      </c>
      <c r="N86" s="88">
        <f>SUM(Table1910[[#This Row],[Inter School sports 1]:[Inter School sports 50]])</f>
        <v>0</v>
      </c>
      <c r="O86" s="17">
        <f>COUNTIF(Table1910[[#This Row],[Community club (type name of club(s). All clubs will count as ''1'']],"*")</f>
        <v>0</v>
      </c>
      <c r="P86" s="17">
        <f>IF(OR(Table1910[[#This Row],[Total Challenges]]&gt;0,Table1910[[#This Row],[Total Ex-C Clubs]]&gt;0,Table1910[[#This Row],[Total Intra-School Sports]]&gt;0,Table1910[[#This Row],[Total Inter-School Sports]]&gt;0,Table1910[[#This Row],[Community Clubs]]&gt;0),1,0)</f>
        <v>0</v>
      </c>
      <c r="Q86" s="22"/>
      <c r="R86" s="22"/>
      <c r="S86" s="22"/>
      <c r="T86" s="22"/>
      <c r="U86" s="22"/>
      <c r="V86" s="22"/>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21"/>
    </row>
    <row r="87" spans="1:218" x14ac:dyDescent="0.25">
      <c r="A87" s="22"/>
      <c r="B87" s="22"/>
      <c r="C87" s="22"/>
      <c r="D87" s="22"/>
      <c r="E87" s="22"/>
      <c r="F87" s="22"/>
      <c r="G87" s="22"/>
      <c r="H87" s="22"/>
      <c r="I87" s="22"/>
      <c r="J87" s="22"/>
      <c r="K87" s="17">
        <f>SUM(Table1910[[#This Row],[Challenge 1]:[Challenge 50]])</f>
        <v>0</v>
      </c>
      <c r="L87" s="88">
        <f>SUM(Table1910[[#This Row],[Club 1]:[Club 50]])</f>
        <v>0</v>
      </c>
      <c r="M87" s="90">
        <f>SUM(Table1910[[#This Row],[Intra-school sports 1]:[Intra-school sports 50]])</f>
        <v>0</v>
      </c>
      <c r="N87" s="88">
        <f>SUM(Table1910[[#This Row],[Inter School sports 1]:[Inter School sports 50]])</f>
        <v>0</v>
      </c>
      <c r="O87" s="17">
        <f>COUNTIF(Table1910[[#This Row],[Community club (type name of club(s). All clubs will count as ''1'']],"*")</f>
        <v>0</v>
      </c>
      <c r="P87" s="17">
        <f>IF(OR(Table1910[[#This Row],[Total Challenges]]&gt;0,Table1910[[#This Row],[Total Ex-C Clubs]]&gt;0,Table1910[[#This Row],[Total Intra-School Sports]]&gt;0,Table1910[[#This Row],[Total Inter-School Sports]]&gt;0,Table1910[[#This Row],[Community Clubs]]&gt;0),1,0)</f>
        <v>0</v>
      </c>
      <c r="Q87" s="22"/>
      <c r="R87" s="22"/>
      <c r="S87" s="22"/>
      <c r="T87" s="22"/>
      <c r="U87" s="22"/>
      <c r="V87" s="22"/>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21"/>
    </row>
    <row r="88" spans="1:218" x14ac:dyDescent="0.25">
      <c r="A88" s="22"/>
      <c r="B88" s="22"/>
      <c r="C88" s="22"/>
      <c r="D88" s="22"/>
      <c r="E88" s="22"/>
      <c r="F88" s="22"/>
      <c r="G88" s="22"/>
      <c r="H88" s="22"/>
      <c r="I88" s="22"/>
      <c r="J88" s="22"/>
      <c r="K88" s="17">
        <f>SUM(Table1910[[#This Row],[Challenge 1]:[Challenge 50]])</f>
        <v>0</v>
      </c>
      <c r="L88" s="88">
        <f>SUM(Table1910[[#This Row],[Club 1]:[Club 50]])</f>
        <v>0</v>
      </c>
      <c r="M88" s="90">
        <f>SUM(Table1910[[#This Row],[Intra-school sports 1]:[Intra-school sports 50]])</f>
        <v>0</v>
      </c>
      <c r="N88" s="88">
        <f>SUM(Table1910[[#This Row],[Inter School sports 1]:[Inter School sports 50]])</f>
        <v>0</v>
      </c>
      <c r="O88" s="17">
        <f>COUNTIF(Table1910[[#This Row],[Community club (type name of club(s). All clubs will count as ''1'']],"*")</f>
        <v>0</v>
      </c>
      <c r="P88" s="17">
        <f>IF(OR(Table1910[[#This Row],[Total Challenges]]&gt;0,Table1910[[#This Row],[Total Ex-C Clubs]]&gt;0,Table1910[[#This Row],[Total Intra-School Sports]]&gt;0,Table1910[[#This Row],[Total Inter-School Sports]]&gt;0,Table1910[[#This Row],[Community Clubs]]&gt;0),1,0)</f>
        <v>0</v>
      </c>
      <c r="Q88" s="22"/>
      <c r="R88" s="22"/>
      <c r="S88" s="22"/>
      <c r="T88" s="22"/>
      <c r="U88" s="22"/>
      <c r="V88" s="22"/>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21"/>
    </row>
    <row r="89" spans="1:218" x14ac:dyDescent="0.25">
      <c r="A89" s="22"/>
      <c r="B89" s="22"/>
      <c r="C89" s="22"/>
      <c r="D89" s="22"/>
      <c r="E89" s="22"/>
      <c r="F89" s="22"/>
      <c r="G89" s="22"/>
      <c r="H89" s="22"/>
      <c r="I89" s="22"/>
      <c r="J89" s="22"/>
      <c r="K89" s="17">
        <f>SUM(Table1910[[#This Row],[Challenge 1]:[Challenge 50]])</f>
        <v>0</v>
      </c>
      <c r="L89" s="88">
        <f>SUM(Table1910[[#This Row],[Club 1]:[Club 50]])</f>
        <v>0</v>
      </c>
      <c r="M89" s="90">
        <f>SUM(Table1910[[#This Row],[Intra-school sports 1]:[Intra-school sports 50]])</f>
        <v>0</v>
      </c>
      <c r="N89" s="88">
        <f>SUM(Table1910[[#This Row],[Inter School sports 1]:[Inter School sports 50]])</f>
        <v>0</v>
      </c>
      <c r="O89" s="17">
        <f>COUNTIF(Table1910[[#This Row],[Community club (type name of club(s). All clubs will count as ''1'']],"*")</f>
        <v>0</v>
      </c>
      <c r="P89" s="17">
        <f>IF(OR(Table1910[[#This Row],[Total Challenges]]&gt;0,Table1910[[#This Row],[Total Ex-C Clubs]]&gt;0,Table1910[[#This Row],[Total Intra-School Sports]]&gt;0,Table1910[[#This Row],[Total Inter-School Sports]]&gt;0,Table1910[[#This Row],[Community Clubs]]&gt;0),1,0)</f>
        <v>0</v>
      </c>
      <c r="Q89" s="22"/>
      <c r="R89" s="22"/>
      <c r="S89" s="22"/>
      <c r="T89" s="22"/>
      <c r="U89" s="22"/>
      <c r="V89" s="22"/>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21"/>
    </row>
    <row r="90" spans="1:218" x14ac:dyDescent="0.25">
      <c r="A90" s="22"/>
      <c r="B90" s="22"/>
      <c r="C90" s="22"/>
      <c r="D90" s="22"/>
      <c r="E90" s="22"/>
      <c r="F90" s="22"/>
      <c r="G90" s="22"/>
      <c r="H90" s="22"/>
      <c r="I90" s="22"/>
      <c r="J90" s="22"/>
      <c r="K90" s="17">
        <f>SUM(Table1910[[#This Row],[Challenge 1]:[Challenge 50]])</f>
        <v>0</v>
      </c>
      <c r="L90" s="88">
        <f>SUM(Table1910[[#This Row],[Club 1]:[Club 50]])</f>
        <v>0</v>
      </c>
      <c r="M90" s="90">
        <f>SUM(Table1910[[#This Row],[Intra-school sports 1]:[Intra-school sports 50]])</f>
        <v>0</v>
      </c>
      <c r="N90" s="88">
        <f>SUM(Table1910[[#This Row],[Inter School sports 1]:[Inter School sports 50]])</f>
        <v>0</v>
      </c>
      <c r="O90" s="17">
        <f>COUNTIF(Table1910[[#This Row],[Community club (type name of club(s). All clubs will count as ''1'']],"*")</f>
        <v>0</v>
      </c>
      <c r="P90" s="17">
        <f>IF(OR(Table1910[[#This Row],[Total Challenges]]&gt;0,Table1910[[#This Row],[Total Ex-C Clubs]]&gt;0,Table1910[[#This Row],[Total Intra-School Sports]]&gt;0,Table1910[[#This Row],[Total Inter-School Sports]]&gt;0,Table1910[[#This Row],[Community Clubs]]&gt;0),1,0)</f>
        <v>0</v>
      </c>
      <c r="Q90" s="22"/>
      <c r="R90" s="22"/>
      <c r="S90" s="22"/>
      <c r="T90" s="22"/>
      <c r="U90" s="22"/>
      <c r="V90" s="22"/>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21"/>
    </row>
    <row r="91" spans="1:218" x14ac:dyDescent="0.25">
      <c r="A91" s="22"/>
      <c r="B91" s="22"/>
      <c r="C91" s="22"/>
      <c r="D91" s="22"/>
      <c r="E91" s="22"/>
      <c r="F91" s="22"/>
      <c r="G91" s="22"/>
      <c r="H91" s="22"/>
      <c r="I91" s="22"/>
      <c r="J91" s="22"/>
      <c r="K91" s="17">
        <f>SUM(Table1910[[#This Row],[Challenge 1]:[Challenge 50]])</f>
        <v>0</v>
      </c>
      <c r="L91" s="88">
        <f>SUM(Table1910[[#This Row],[Club 1]:[Club 50]])</f>
        <v>0</v>
      </c>
      <c r="M91" s="90">
        <f>SUM(Table1910[[#This Row],[Intra-school sports 1]:[Intra-school sports 50]])</f>
        <v>0</v>
      </c>
      <c r="N91" s="88">
        <f>SUM(Table1910[[#This Row],[Inter School sports 1]:[Inter School sports 50]])</f>
        <v>0</v>
      </c>
      <c r="O91" s="17">
        <f>COUNTIF(Table1910[[#This Row],[Community club (type name of club(s). All clubs will count as ''1'']],"*")</f>
        <v>0</v>
      </c>
      <c r="P91" s="17">
        <f>IF(OR(Table1910[[#This Row],[Total Challenges]]&gt;0,Table1910[[#This Row],[Total Ex-C Clubs]]&gt;0,Table1910[[#This Row],[Total Intra-School Sports]]&gt;0,Table1910[[#This Row],[Total Inter-School Sports]]&gt;0,Table1910[[#This Row],[Community Clubs]]&gt;0),1,0)</f>
        <v>0</v>
      </c>
      <c r="Q91" s="22"/>
      <c r="R91" s="22"/>
      <c r="S91" s="22"/>
      <c r="T91" s="22"/>
      <c r="U91" s="22"/>
      <c r="V91" s="22"/>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21"/>
    </row>
    <row r="92" spans="1:218" x14ac:dyDescent="0.25">
      <c r="A92" s="17"/>
      <c r="B92" s="17"/>
      <c r="C92" s="17"/>
      <c r="D92" s="17"/>
      <c r="E92" s="17"/>
      <c r="F92" s="17"/>
      <c r="G92" s="17"/>
      <c r="H92" s="17"/>
      <c r="I92" s="17"/>
      <c r="J92" s="17"/>
      <c r="K92" s="17">
        <f>SUM(Table1910[[#This Row],[Challenge 1]:[Challenge 50]])</f>
        <v>0</v>
      </c>
      <c r="L92" s="88">
        <f>SUM(Table1910[[#This Row],[Club 1]:[Club 50]])</f>
        <v>0</v>
      </c>
      <c r="M92" s="90">
        <f>SUM(Table1910[[#This Row],[Intra-school sports 1]:[Intra-school sports 50]])</f>
        <v>0</v>
      </c>
      <c r="N92" s="88">
        <f>SUM(Table1910[[#This Row],[Inter School sports 1]:[Inter School sports 50]])</f>
        <v>0</v>
      </c>
      <c r="O92" s="17">
        <f>COUNTIF(Table1910[[#This Row],[Community club (type name of club(s). All clubs will count as ''1'']],"*")</f>
        <v>0</v>
      </c>
      <c r="P92" s="17">
        <f>IF(OR(Table1910[[#This Row],[Total Challenges]]&gt;0,Table1910[[#This Row],[Total Ex-C Clubs]]&gt;0,Table1910[[#This Row],[Total Intra-School Sports]]&gt;0,Table1910[[#This Row],[Total Inter-School Sports]]&gt;0,Table1910[[#This Row],[Community Clubs]]&gt;0),1,0)</f>
        <v>0</v>
      </c>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21"/>
    </row>
    <row r="93" spans="1:218" x14ac:dyDescent="0.25">
      <c r="A93" s="17"/>
      <c r="B93" s="17"/>
      <c r="C93" s="17"/>
      <c r="D93" s="17"/>
      <c r="E93" s="17"/>
      <c r="F93" s="17"/>
      <c r="G93" s="17"/>
      <c r="H93" s="17"/>
      <c r="I93" s="17"/>
      <c r="J93" s="17"/>
      <c r="K93" s="17">
        <f>SUM(Table1910[[#This Row],[Challenge 1]:[Challenge 50]])</f>
        <v>0</v>
      </c>
      <c r="L93" s="88">
        <f>SUM(Table1910[[#This Row],[Club 1]:[Club 50]])</f>
        <v>0</v>
      </c>
      <c r="M93" s="90">
        <f>SUM(Table1910[[#This Row],[Intra-school sports 1]:[Intra-school sports 50]])</f>
        <v>0</v>
      </c>
      <c r="N93" s="88">
        <f>SUM(Table1910[[#This Row],[Inter School sports 1]:[Inter School sports 50]])</f>
        <v>0</v>
      </c>
      <c r="O93" s="17">
        <f>COUNTIF(Table1910[[#This Row],[Community club (type name of club(s). All clubs will count as ''1'']],"*")</f>
        <v>0</v>
      </c>
      <c r="P93" s="17">
        <f>IF(OR(Table1910[[#This Row],[Total Challenges]]&gt;0,Table1910[[#This Row],[Total Ex-C Clubs]]&gt;0,Table1910[[#This Row],[Total Intra-School Sports]]&gt;0,Table1910[[#This Row],[Total Inter-School Sports]]&gt;0,Table1910[[#This Row],[Community Clubs]]&gt;0),1,0)</f>
        <v>0</v>
      </c>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21"/>
    </row>
    <row r="94" spans="1:218" x14ac:dyDescent="0.25">
      <c r="A94" s="17"/>
      <c r="B94" s="17"/>
      <c r="C94" s="17"/>
      <c r="D94" s="17"/>
      <c r="E94" s="17"/>
      <c r="F94" s="17"/>
      <c r="G94" s="17"/>
      <c r="H94" s="17"/>
      <c r="I94" s="17"/>
      <c r="J94" s="17"/>
      <c r="K94" s="17">
        <f>SUM(Table1910[[#This Row],[Challenge 1]:[Challenge 50]])</f>
        <v>0</v>
      </c>
      <c r="L94" s="88">
        <f>SUM(Table1910[[#This Row],[Club 1]:[Club 50]])</f>
        <v>0</v>
      </c>
      <c r="M94" s="90">
        <f>SUM(Table1910[[#This Row],[Intra-school sports 1]:[Intra-school sports 50]])</f>
        <v>0</v>
      </c>
      <c r="N94" s="88">
        <f>SUM(Table1910[[#This Row],[Inter School sports 1]:[Inter School sports 50]])</f>
        <v>0</v>
      </c>
      <c r="O94" s="17">
        <f>COUNTIF(Table1910[[#This Row],[Community club (type name of club(s). All clubs will count as ''1'']],"*")</f>
        <v>0</v>
      </c>
      <c r="P94" s="17">
        <f>IF(OR(Table1910[[#This Row],[Total Challenges]]&gt;0,Table1910[[#This Row],[Total Ex-C Clubs]]&gt;0,Table1910[[#This Row],[Total Intra-School Sports]]&gt;0,Table1910[[#This Row],[Total Inter-School Sports]]&gt;0,Table1910[[#This Row],[Community Clubs]]&gt;0),1,0)</f>
        <v>0</v>
      </c>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21"/>
    </row>
    <row r="95" spans="1:218" x14ac:dyDescent="0.25">
      <c r="A95" s="17"/>
      <c r="B95" s="17"/>
      <c r="C95" s="17"/>
      <c r="D95" s="17"/>
      <c r="E95" s="17"/>
      <c r="F95" s="17"/>
      <c r="G95" s="17"/>
      <c r="H95" s="17"/>
      <c r="I95" s="17"/>
      <c r="J95" s="17"/>
      <c r="K95" s="17">
        <f>SUM(Table1910[[#This Row],[Challenge 1]:[Challenge 50]])</f>
        <v>0</v>
      </c>
      <c r="L95" s="88">
        <f>SUM(Table1910[[#This Row],[Club 1]:[Club 50]])</f>
        <v>0</v>
      </c>
      <c r="M95" s="90">
        <f>SUM(Table1910[[#This Row],[Intra-school sports 1]:[Intra-school sports 50]])</f>
        <v>0</v>
      </c>
      <c r="N95" s="88">
        <f>SUM(Table1910[[#This Row],[Inter School sports 1]:[Inter School sports 50]])</f>
        <v>0</v>
      </c>
      <c r="O95" s="17">
        <f>COUNTIF(Table1910[[#This Row],[Community club (type name of club(s). All clubs will count as ''1'']],"*")</f>
        <v>0</v>
      </c>
      <c r="P95" s="17">
        <f>IF(OR(Table1910[[#This Row],[Total Challenges]]&gt;0,Table1910[[#This Row],[Total Ex-C Clubs]]&gt;0,Table1910[[#This Row],[Total Intra-School Sports]]&gt;0,Table1910[[#This Row],[Total Inter-School Sports]]&gt;0,Table1910[[#This Row],[Community Clubs]]&gt;0),1,0)</f>
        <v>0</v>
      </c>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21"/>
    </row>
    <row r="96" spans="1:218" x14ac:dyDescent="0.25">
      <c r="A96" s="17"/>
      <c r="B96" s="17"/>
      <c r="C96" s="17"/>
      <c r="D96" s="17"/>
      <c r="E96" s="17"/>
      <c r="F96" s="17"/>
      <c r="G96" s="17"/>
      <c r="H96" s="17"/>
      <c r="I96" s="17"/>
      <c r="J96" s="17"/>
      <c r="K96" s="17">
        <f>SUM(Table1910[[#This Row],[Challenge 1]:[Challenge 50]])</f>
        <v>0</v>
      </c>
      <c r="L96" s="88">
        <f>SUM(Table1910[[#This Row],[Club 1]:[Club 50]])</f>
        <v>0</v>
      </c>
      <c r="M96" s="90">
        <f>SUM(Table1910[[#This Row],[Intra-school sports 1]:[Intra-school sports 50]])</f>
        <v>0</v>
      </c>
      <c r="N96" s="88">
        <f>SUM(Table1910[[#This Row],[Inter School sports 1]:[Inter School sports 50]])</f>
        <v>0</v>
      </c>
      <c r="O96" s="17">
        <f>COUNTIF(Table1910[[#This Row],[Community club (type name of club(s). All clubs will count as ''1'']],"*")</f>
        <v>0</v>
      </c>
      <c r="P96" s="17">
        <f>IF(OR(Table1910[[#This Row],[Total Challenges]]&gt;0,Table1910[[#This Row],[Total Ex-C Clubs]]&gt;0,Table1910[[#This Row],[Total Intra-School Sports]]&gt;0,Table1910[[#This Row],[Total Inter-School Sports]]&gt;0,Table1910[[#This Row],[Community Clubs]]&gt;0),1,0)</f>
        <v>0</v>
      </c>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21"/>
    </row>
    <row r="97" spans="1:218" x14ac:dyDescent="0.25">
      <c r="A97" s="17"/>
      <c r="B97" s="17"/>
      <c r="C97" s="17"/>
      <c r="D97" s="17"/>
      <c r="E97" s="17"/>
      <c r="F97" s="17"/>
      <c r="G97" s="17"/>
      <c r="H97" s="17"/>
      <c r="I97" s="17"/>
      <c r="J97" s="17"/>
      <c r="K97" s="17">
        <f>SUM(Table1910[[#This Row],[Challenge 1]:[Challenge 50]])</f>
        <v>0</v>
      </c>
      <c r="L97" s="88">
        <f>SUM(Table1910[[#This Row],[Club 1]:[Club 50]])</f>
        <v>0</v>
      </c>
      <c r="M97" s="90">
        <f>SUM(Table1910[[#This Row],[Intra-school sports 1]:[Intra-school sports 50]])</f>
        <v>0</v>
      </c>
      <c r="N97" s="88">
        <f>SUM(Table1910[[#This Row],[Inter School sports 1]:[Inter School sports 50]])</f>
        <v>0</v>
      </c>
      <c r="O97" s="17">
        <f>COUNTIF(Table1910[[#This Row],[Community club (type name of club(s). All clubs will count as ''1'']],"*")</f>
        <v>0</v>
      </c>
      <c r="P97" s="17">
        <f>IF(OR(Table1910[[#This Row],[Total Challenges]]&gt;0,Table1910[[#This Row],[Total Ex-C Clubs]]&gt;0,Table1910[[#This Row],[Total Intra-School Sports]]&gt;0,Table1910[[#This Row],[Total Inter-School Sports]]&gt;0,Table1910[[#This Row],[Community Clubs]]&gt;0),1,0)</f>
        <v>0</v>
      </c>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21"/>
    </row>
    <row r="98" spans="1:218" x14ac:dyDescent="0.25">
      <c r="A98" s="17"/>
      <c r="B98" s="17"/>
      <c r="C98" s="17"/>
      <c r="D98" s="17"/>
      <c r="E98" s="17"/>
      <c r="F98" s="17"/>
      <c r="G98" s="17"/>
      <c r="H98" s="17"/>
      <c r="I98" s="17"/>
      <c r="J98" s="17"/>
      <c r="K98" s="17">
        <f>SUM(Table1910[[#This Row],[Challenge 1]:[Challenge 50]])</f>
        <v>0</v>
      </c>
      <c r="L98" s="88">
        <f>SUM(Table1910[[#This Row],[Club 1]:[Club 50]])</f>
        <v>0</v>
      </c>
      <c r="M98" s="90">
        <f>SUM(Table1910[[#This Row],[Intra-school sports 1]:[Intra-school sports 50]])</f>
        <v>0</v>
      </c>
      <c r="N98" s="88">
        <f>SUM(Table1910[[#This Row],[Inter School sports 1]:[Inter School sports 50]])</f>
        <v>0</v>
      </c>
      <c r="O98" s="17">
        <f>COUNTIF(Table1910[[#This Row],[Community club (type name of club(s). All clubs will count as ''1'']],"*")</f>
        <v>0</v>
      </c>
      <c r="P98" s="17">
        <f>IF(OR(Table1910[[#This Row],[Total Challenges]]&gt;0,Table1910[[#This Row],[Total Ex-C Clubs]]&gt;0,Table1910[[#This Row],[Total Intra-School Sports]]&gt;0,Table1910[[#This Row],[Total Inter-School Sports]]&gt;0,Table1910[[#This Row],[Community Clubs]]&gt;0),1,0)</f>
        <v>0</v>
      </c>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21"/>
    </row>
    <row r="99" spans="1:218" x14ac:dyDescent="0.25">
      <c r="A99" s="17"/>
      <c r="B99" s="17"/>
      <c r="C99" s="17"/>
      <c r="D99" s="17"/>
      <c r="E99" s="17"/>
      <c r="F99" s="17"/>
      <c r="G99" s="17"/>
      <c r="H99" s="17"/>
      <c r="I99" s="17"/>
      <c r="J99" s="17"/>
      <c r="K99" s="17">
        <f>SUM(Table1910[[#This Row],[Challenge 1]:[Challenge 50]])</f>
        <v>0</v>
      </c>
      <c r="L99" s="88">
        <f>SUM(Table1910[[#This Row],[Club 1]:[Club 50]])</f>
        <v>0</v>
      </c>
      <c r="M99" s="90">
        <f>SUM(Table1910[[#This Row],[Intra-school sports 1]:[Intra-school sports 50]])</f>
        <v>0</v>
      </c>
      <c r="N99" s="88">
        <f>SUM(Table1910[[#This Row],[Inter School sports 1]:[Inter School sports 50]])</f>
        <v>0</v>
      </c>
      <c r="O99" s="17">
        <f>COUNTIF(Table1910[[#This Row],[Community club (type name of club(s). All clubs will count as ''1'']],"*")</f>
        <v>0</v>
      </c>
      <c r="P99" s="17">
        <f>IF(OR(Table1910[[#This Row],[Total Challenges]]&gt;0,Table1910[[#This Row],[Total Ex-C Clubs]]&gt;0,Table1910[[#This Row],[Total Intra-School Sports]]&gt;0,Table1910[[#This Row],[Total Inter-School Sports]]&gt;0,Table1910[[#This Row],[Community Clubs]]&gt;0),1,0)</f>
        <v>0</v>
      </c>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21"/>
    </row>
    <row r="100" spans="1:218" x14ac:dyDescent="0.25">
      <c r="A100" s="17"/>
      <c r="B100" s="17"/>
      <c r="C100" s="17"/>
      <c r="D100" s="17"/>
      <c r="E100" s="17"/>
      <c r="F100" s="17"/>
      <c r="G100" s="17"/>
      <c r="H100" s="17"/>
      <c r="I100" s="17"/>
      <c r="J100" s="17"/>
      <c r="K100" s="17">
        <f>SUM(Table1910[[#This Row],[Challenge 1]:[Challenge 50]])</f>
        <v>0</v>
      </c>
      <c r="L100" s="88">
        <f>SUM(Table1910[[#This Row],[Club 1]:[Club 50]])</f>
        <v>0</v>
      </c>
      <c r="M100" s="90">
        <f>SUM(Table1910[[#This Row],[Intra-school sports 1]:[Intra-school sports 50]])</f>
        <v>0</v>
      </c>
      <c r="N100" s="88">
        <f>SUM(Table1910[[#This Row],[Inter School sports 1]:[Inter School sports 50]])</f>
        <v>0</v>
      </c>
      <c r="O100" s="17">
        <f>COUNTIF(Table1910[[#This Row],[Community club (type name of club(s). All clubs will count as ''1'']],"*")</f>
        <v>0</v>
      </c>
      <c r="P100" s="17">
        <f>IF(OR(Table1910[[#This Row],[Total Challenges]]&gt;0,Table1910[[#This Row],[Total Ex-C Clubs]]&gt;0,Table1910[[#This Row],[Total Intra-School Sports]]&gt;0,Table1910[[#This Row],[Total Inter-School Sports]]&gt;0,Table1910[[#This Row],[Community Clubs]]&gt;0),1,0)</f>
        <v>0</v>
      </c>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21"/>
    </row>
    <row r="101" spans="1:218" x14ac:dyDescent="0.25">
      <c r="A101" s="17"/>
      <c r="B101" s="17"/>
      <c r="C101" s="17"/>
      <c r="D101" s="17"/>
      <c r="E101" s="17"/>
      <c r="F101" s="17"/>
      <c r="G101" s="17"/>
      <c r="H101" s="17"/>
      <c r="I101" s="17"/>
      <c r="J101" s="17"/>
      <c r="K101" s="17">
        <f>SUM(Table1910[[#This Row],[Challenge 1]:[Challenge 50]])</f>
        <v>0</v>
      </c>
      <c r="L101" s="88">
        <f>SUM(Table1910[[#This Row],[Club 1]:[Club 50]])</f>
        <v>0</v>
      </c>
      <c r="M101" s="90">
        <f>SUM(Table1910[[#This Row],[Intra-school sports 1]:[Intra-school sports 50]])</f>
        <v>0</v>
      </c>
      <c r="N101" s="88">
        <f>SUM(Table1910[[#This Row],[Inter School sports 1]:[Inter School sports 50]])</f>
        <v>0</v>
      </c>
      <c r="O101" s="17">
        <f>COUNTIF(Table1910[[#This Row],[Community club (type name of club(s). All clubs will count as ''1'']],"*")</f>
        <v>0</v>
      </c>
      <c r="P101" s="17">
        <f>IF(OR(Table1910[[#This Row],[Total Challenges]]&gt;0,Table1910[[#This Row],[Total Ex-C Clubs]]&gt;0,Table1910[[#This Row],[Total Intra-School Sports]]&gt;0,Table1910[[#This Row],[Total Inter-School Sports]]&gt;0,Table1910[[#This Row],[Community Clubs]]&gt;0),1,0)</f>
        <v>0</v>
      </c>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21"/>
    </row>
    <row r="102" spans="1:218" x14ac:dyDescent="0.25">
      <c r="A102" s="17"/>
      <c r="B102" s="17"/>
      <c r="C102" s="17"/>
      <c r="D102" s="17"/>
      <c r="E102" s="17"/>
      <c r="F102" s="17"/>
      <c r="G102" s="17"/>
      <c r="H102" s="17"/>
      <c r="I102" s="17"/>
      <c r="J102" s="17"/>
      <c r="K102" s="17">
        <f>SUM(Table1910[[#This Row],[Challenge 1]:[Challenge 50]])</f>
        <v>0</v>
      </c>
      <c r="L102" s="88">
        <f>SUM(Table1910[[#This Row],[Club 1]:[Club 50]])</f>
        <v>0</v>
      </c>
      <c r="M102" s="90">
        <f>SUM(Table1910[[#This Row],[Intra-school sports 1]:[Intra-school sports 50]])</f>
        <v>0</v>
      </c>
      <c r="N102" s="88">
        <f>SUM(Table1910[[#This Row],[Inter School sports 1]:[Inter School sports 50]])</f>
        <v>0</v>
      </c>
      <c r="O102" s="17">
        <f>COUNTIF(Table1910[[#This Row],[Community club (type name of club(s). All clubs will count as ''1'']],"*")</f>
        <v>0</v>
      </c>
      <c r="P102" s="17">
        <f>IF(OR(Table1910[[#This Row],[Total Challenges]]&gt;0,Table1910[[#This Row],[Total Ex-C Clubs]]&gt;0,Table1910[[#This Row],[Total Intra-School Sports]]&gt;0,Table1910[[#This Row],[Total Inter-School Sports]]&gt;0,Table1910[[#This Row],[Community Clubs]]&gt;0),1,0)</f>
        <v>0</v>
      </c>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21"/>
    </row>
    <row r="103" spans="1:218" x14ac:dyDescent="0.25">
      <c r="A103" s="17"/>
      <c r="B103" s="17"/>
      <c r="C103" s="17"/>
      <c r="D103" s="17"/>
      <c r="E103" s="17"/>
      <c r="F103" s="17"/>
      <c r="G103" s="17"/>
      <c r="H103" s="17"/>
      <c r="I103" s="17"/>
      <c r="J103" s="17"/>
      <c r="K103" s="17">
        <f>SUM(Table1910[[#This Row],[Challenge 1]:[Challenge 50]])</f>
        <v>0</v>
      </c>
      <c r="L103" s="88">
        <f>SUM(Table1910[[#This Row],[Club 1]:[Club 50]])</f>
        <v>0</v>
      </c>
      <c r="M103" s="90">
        <f>SUM(Table1910[[#This Row],[Intra-school sports 1]:[Intra-school sports 50]])</f>
        <v>0</v>
      </c>
      <c r="N103" s="88">
        <f>SUM(Table1910[[#This Row],[Inter School sports 1]:[Inter School sports 50]])</f>
        <v>0</v>
      </c>
      <c r="O103" s="17">
        <f>COUNTIF(Table1910[[#This Row],[Community club (type name of club(s). All clubs will count as ''1'']],"*")</f>
        <v>0</v>
      </c>
      <c r="P103" s="17">
        <f>IF(OR(Table1910[[#This Row],[Total Challenges]]&gt;0,Table1910[[#This Row],[Total Ex-C Clubs]]&gt;0,Table1910[[#This Row],[Total Intra-School Sports]]&gt;0,Table1910[[#This Row],[Total Inter-School Sports]]&gt;0,Table1910[[#This Row],[Community Clubs]]&gt;0),1,0)</f>
        <v>0</v>
      </c>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21"/>
    </row>
    <row r="104" spans="1:218" x14ac:dyDescent="0.25">
      <c r="A104" s="17"/>
      <c r="B104" s="17"/>
      <c r="C104" s="17"/>
      <c r="D104" s="17"/>
      <c r="E104" s="17"/>
      <c r="F104" s="17"/>
      <c r="G104" s="17"/>
      <c r="H104" s="17"/>
      <c r="I104" s="17"/>
      <c r="J104" s="17"/>
      <c r="K104" s="17">
        <f>SUM(Table1910[[#This Row],[Challenge 1]:[Challenge 50]])</f>
        <v>0</v>
      </c>
      <c r="L104" s="88">
        <f>SUM(Table1910[[#This Row],[Club 1]:[Club 50]])</f>
        <v>0</v>
      </c>
      <c r="M104" s="90">
        <f>SUM(Table1910[[#This Row],[Intra-school sports 1]:[Intra-school sports 50]])</f>
        <v>0</v>
      </c>
      <c r="N104" s="88">
        <f>SUM(Table1910[[#This Row],[Inter School sports 1]:[Inter School sports 50]])</f>
        <v>0</v>
      </c>
      <c r="O104" s="17">
        <f>COUNTIF(Table1910[[#This Row],[Community club (type name of club(s). All clubs will count as ''1'']],"*")</f>
        <v>0</v>
      </c>
      <c r="P104" s="17">
        <f>IF(OR(Table1910[[#This Row],[Total Challenges]]&gt;0,Table1910[[#This Row],[Total Ex-C Clubs]]&gt;0,Table1910[[#This Row],[Total Intra-School Sports]]&gt;0,Table1910[[#This Row],[Total Inter-School Sports]]&gt;0,Table1910[[#This Row],[Community Clubs]]&gt;0),1,0)</f>
        <v>0</v>
      </c>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21"/>
    </row>
    <row r="105" spans="1:218" x14ac:dyDescent="0.25">
      <c r="A105" s="17"/>
      <c r="B105" s="17"/>
      <c r="C105" s="17"/>
      <c r="D105" s="17"/>
      <c r="E105" s="17"/>
      <c r="F105" s="17"/>
      <c r="G105" s="17"/>
      <c r="H105" s="17"/>
      <c r="I105" s="17"/>
      <c r="J105" s="17"/>
      <c r="K105" s="17">
        <f>SUM(Table1910[[#This Row],[Challenge 1]:[Challenge 50]])</f>
        <v>0</v>
      </c>
      <c r="L105" s="88">
        <f>SUM(Table1910[[#This Row],[Club 1]:[Club 50]])</f>
        <v>0</v>
      </c>
      <c r="M105" s="90">
        <f>SUM(Table1910[[#This Row],[Intra-school sports 1]:[Intra-school sports 50]])</f>
        <v>0</v>
      </c>
      <c r="N105" s="88">
        <f>SUM(Table1910[[#This Row],[Inter School sports 1]:[Inter School sports 50]])</f>
        <v>0</v>
      </c>
      <c r="O105" s="17">
        <f>COUNTIF(Table1910[[#This Row],[Community club (type name of club(s). All clubs will count as ''1'']],"*")</f>
        <v>0</v>
      </c>
      <c r="P105" s="17">
        <f>IF(OR(Table1910[[#This Row],[Total Challenges]]&gt;0,Table1910[[#This Row],[Total Ex-C Clubs]]&gt;0,Table1910[[#This Row],[Total Intra-School Sports]]&gt;0,Table1910[[#This Row],[Total Inter-School Sports]]&gt;0,Table1910[[#This Row],[Community Clubs]]&gt;0),1,0)</f>
        <v>0</v>
      </c>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21"/>
    </row>
    <row r="106" spans="1:218" x14ac:dyDescent="0.25">
      <c r="A106" s="17"/>
      <c r="B106" s="17"/>
      <c r="C106" s="17"/>
      <c r="D106" s="17"/>
      <c r="E106" s="17"/>
      <c r="F106" s="17"/>
      <c r="G106" s="17"/>
      <c r="H106" s="17"/>
      <c r="I106" s="17"/>
      <c r="J106" s="17"/>
      <c r="K106" s="17">
        <f>SUM(Table1910[[#This Row],[Challenge 1]:[Challenge 50]])</f>
        <v>0</v>
      </c>
      <c r="L106" s="88">
        <f>SUM(Table1910[[#This Row],[Club 1]:[Club 50]])</f>
        <v>0</v>
      </c>
      <c r="M106" s="90">
        <f>SUM(Table1910[[#This Row],[Intra-school sports 1]:[Intra-school sports 50]])</f>
        <v>0</v>
      </c>
      <c r="N106" s="88">
        <f>SUM(Table1910[[#This Row],[Inter School sports 1]:[Inter School sports 50]])</f>
        <v>0</v>
      </c>
      <c r="O106" s="17">
        <f>COUNTIF(Table1910[[#This Row],[Community club (type name of club(s). All clubs will count as ''1'']],"*")</f>
        <v>0</v>
      </c>
      <c r="P106" s="17">
        <f>IF(OR(Table1910[[#This Row],[Total Challenges]]&gt;0,Table1910[[#This Row],[Total Ex-C Clubs]]&gt;0,Table1910[[#This Row],[Total Intra-School Sports]]&gt;0,Table1910[[#This Row],[Total Inter-School Sports]]&gt;0,Table1910[[#This Row],[Community Clubs]]&gt;0),1,0)</f>
        <v>0</v>
      </c>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21"/>
    </row>
    <row r="107" spans="1:218" x14ac:dyDescent="0.25">
      <c r="A107" s="17"/>
      <c r="B107" s="17"/>
      <c r="C107" s="17"/>
      <c r="D107" s="17"/>
      <c r="E107" s="17"/>
      <c r="F107" s="17"/>
      <c r="G107" s="17"/>
      <c r="H107" s="17"/>
      <c r="I107" s="17"/>
      <c r="J107" s="17"/>
      <c r="K107" s="17">
        <f>SUM(Table1910[[#This Row],[Challenge 1]:[Challenge 50]])</f>
        <v>0</v>
      </c>
      <c r="L107" s="88">
        <f>SUM(Table1910[[#This Row],[Club 1]:[Club 50]])</f>
        <v>0</v>
      </c>
      <c r="M107" s="90">
        <f>SUM(Table1910[[#This Row],[Intra-school sports 1]:[Intra-school sports 50]])</f>
        <v>0</v>
      </c>
      <c r="N107" s="88">
        <f>SUM(Table1910[[#This Row],[Inter School sports 1]:[Inter School sports 50]])</f>
        <v>0</v>
      </c>
      <c r="O107" s="17">
        <f>COUNTIF(Table1910[[#This Row],[Community club (type name of club(s). All clubs will count as ''1'']],"*")</f>
        <v>0</v>
      </c>
      <c r="P107" s="17">
        <f>IF(OR(Table1910[[#This Row],[Total Challenges]]&gt;0,Table1910[[#This Row],[Total Ex-C Clubs]]&gt;0,Table1910[[#This Row],[Total Intra-School Sports]]&gt;0,Table1910[[#This Row],[Total Inter-School Sports]]&gt;0,Table1910[[#This Row],[Community Clubs]]&gt;0),1,0)</f>
        <v>0</v>
      </c>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21"/>
    </row>
    <row r="108" spans="1:218" x14ac:dyDescent="0.25">
      <c r="A108" s="17"/>
      <c r="B108" s="17"/>
      <c r="C108" s="17"/>
      <c r="D108" s="17"/>
      <c r="E108" s="17"/>
      <c r="F108" s="17"/>
      <c r="G108" s="17"/>
      <c r="H108" s="17"/>
      <c r="I108" s="17"/>
      <c r="J108" s="17"/>
      <c r="K108" s="17">
        <f>SUM(Table1910[[#This Row],[Challenge 1]:[Challenge 50]])</f>
        <v>0</v>
      </c>
      <c r="L108" s="88">
        <f>SUM(Table1910[[#This Row],[Club 1]:[Club 50]])</f>
        <v>0</v>
      </c>
      <c r="M108" s="90">
        <f>SUM(Table1910[[#This Row],[Intra-school sports 1]:[Intra-school sports 50]])</f>
        <v>0</v>
      </c>
      <c r="N108" s="88">
        <f>SUM(Table1910[[#This Row],[Inter School sports 1]:[Inter School sports 50]])</f>
        <v>0</v>
      </c>
      <c r="O108" s="17">
        <f>COUNTIF(Table1910[[#This Row],[Community club (type name of club(s). All clubs will count as ''1'']],"*")</f>
        <v>0</v>
      </c>
      <c r="P108" s="17">
        <f>IF(OR(Table1910[[#This Row],[Total Challenges]]&gt;0,Table1910[[#This Row],[Total Ex-C Clubs]]&gt;0,Table1910[[#This Row],[Total Intra-School Sports]]&gt;0,Table1910[[#This Row],[Total Inter-School Sports]]&gt;0,Table1910[[#This Row],[Community Clubs]]&gt;0),1,0)</f>
        <v>0</v>
      </c>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21"/>
    </row>
    <row r="109" spans="1:218" x14ac:dyDescent="0.25">
      <c r="A109" s="17"/>
      <c r="B109" s="17"/>
      <c r="C109" s="17"/>
      <c r="D109" s="17"/>
      <c r="E109" s="17"/>
      <c r="F109" s="17"/>
      <c r="G109" s="17"/>
      <c r="H109" s="17"/>
      <c r="I109" s="17"/>
      <c r="J109" s="17"/>
      <c r="K109" s="17">
        <f>SUM(Table1910[[#This Row],[Challenge 1]:[Challenge 50]])</f>
        <v>0</v>
      </c>
      <c r="L109" s="88">
        <f>SUM(Table1910[[#This Row],[Club 1]:[Club 50]])</f>
        <v>0</v>
      </c>
      <c r="M109" s="90">
        <f>SUM(Table1910[[#This Row],[Intra-school sports 1]:[Intra-school sports 50]])</f>
        <v>0</v>
      </c>
      <c r="N109" s="88">
        <f>SUM(Table1910[[#This Row],[Inter School sports 1]:[Inter School sports 50]])</f>
        <v>0</v>
      </c>
      <c r="O109" s="17">
        <f>COUNTIF(Table1910[[#This Row],[Community club (type name of club(s). All clubs will count as ''1'']],"*")</f>
        <v>0</v>
      </c>
      <c r="P109" s="17">
        <f>IF(OR(Table1910[[#This Row],[Total Challenges]]&gt;0,Table1910[[#This Row],[Total Ex-C Clubs]]&gt;0,Table1910[[#This Row],[Total Intra-School Sports]]&gt;0,Table1910[[#This Row],[Total Inter-School Sports]]&gt;0,Table1910[[#This Row],[Community Clubs]]&gt;0),1,0)</f>
        <v>0</v>
      </c>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21"/>
    </row>
    <row r="110" spans="1:218" x14ac:dyDescent="0.25">
      <c r="A110" s="17"/>
      <c r="B110" s="17"/>
      <c r="C110" s="17"/>
      <c r="D110" s="17"/>
      <c r="E110" s="17"/>
      <c r="F110" s="17"/>
      <c r="G110" s="17"/>
      <c r="H110" s="17"/>
      <c r="I110" s="17"/>
      <c r="J110" s="17"/>
      <c r="K110" s="17">
        <f>SUM(Table1910[[#This Row],[Challenge 1]:[Challenge 50]])</f>
        <v>0</v>
      </c>
      <c r="L110" s="88">
        <f>SUM(Table1910[[#This Row],[Club 1]:[Club 50]])</f>
        <v>0</v>
      </c>
      <c r="M110" s="90">
        <f>SUM(Table1910[[#This Row],[Intra-school sports 1]:[Intra-school sports 50]])</f>
        <v>0</v>
      </c>
      <c r="N110" s="88">
        <f>SUM(Table1910[[#This Row],[Inter School sports 1]:[Inter School sports 50]])</f>
        <v>0</v>
      </c>
      <c r="O110" s="17">
        <f>COUNTIF(Table1910[[#This Row],[Community club (type name of club(s). All clubs will count as ''1'']],"*")</f>
        <v>0</v>
      </c>
      <c r="P110" s="17">
        <f>IF(OR(Table1910[[#This Row],[Total Challenges]]&gt;0,Table1910[[#This Row],[Total Ex-C Clubs]]&gt;0,Table1910[[#This Row],[Total Intra-School Sports]]&gt;0,Table1910[[#This Row],[Total Inter-School Sports]]&gt;0,Table1910[[#This Row],[Community Clubs]]&gt;0),1,0)</f>
        <v>0</v>
      </c>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21"/>
    </row>
    <row r="111" spans="1:218" x14ac:dyDescent="0.25">
      <c r="A111" s="17"/>
      <c r="B111" s="17"/>
      <c r="C111" s="17"/>
      <c r="D111" s="17"/>
      <c r="E111" s="17"/>
      <c r="F111" s="17"/>
      <c r="G111" s="17"/>
      <c r="H111" s="17"/>
      <c r="I111" s="17"/>
      <c r="J111" s="17"/>
      <c r="K111" s="17">
        <f>SUM(Table1910[[#This Row],[Challenge 1]:[Challenge 50]])</f>
        <v>0</v>
      </c>
      <c r="L111" s="88">
        <f>SUM(Table1910[[#This Row],[Club 1]:[Club 50]])</f>
        <v>0</v>
      </c>
      <c r="M111" s="90">
        <f>SUM(Table1910[[#This Row],[Intra-school sports 1]:[Intra-school sports 50]])</f>
        <v>0</v>
      </c>
      <c r="N111" s="88">
        <f>SUM(Table1910[[#This Row],[Inter School sports 1]:[Inter School sports 50]])</f>
        <v>0</v>
      </c>
      <c r="O111" s="17">
        <f>COUNTIF(Table1910[[#This Row],[Community club (type name of club(s). All clubs will count as ''1'']],"*")</f>
        <v>0</v>
      </c>
      <c r="P111" s="17">
        <f>IF(OR(Table1910[[#This Row],[Total Challenges]]&gt;0,Table1910[[#This Row],[Total Ex-C Clubs]]&gt;0,Table1910[[#This Row],[Total Intra-School Sports]]&gt;0,Table1910[[#This Row],[Total Inter-School Sports]]&gt;0,Table1910[[#This Row],[Community Clubs]]&gt;0),1,0)</f>
        <v>0</v>
      </c>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21"/>
    </row>
    <row r="112" spans="1:218" x14ac:dyDescent="0.25">
      <c r="A112" s="17"/>
      <c r="B112" s="17"/>
      <c r="C112" s="17"/>
      <c r="D112" s="17"/>
      <c r="E112" s="17"/>
      <c r="F112" s="17"/>
      <c r="G112" s="17"/>
      <c r="H112" s="17"/>
      <c r="I112" s="17"/>
      <c r="J112" s="17"/>
      <c r="K112" s="17">
        <f>SUM(Table1910[[#This Row],[Challenge 1]:[Challenge 50]])</f>
        <v>0</v>
      </c>
      <c r="L112" s="88">
        <f>SUM(Table1910[[#This Row],[Club 1]:[Club 50]])</f>
        <v>0</v>
      </c>
      <c r="M112" s="90">
        <f>SUM(Table1910[[#This Row],[Intra-school sports 1]:[Intra-school sports 50]])</f>
        <v>0</v>
      </c>
      <c r="N112" s="88">
        <f>SUM(Table1910[[#This Row],[Inter School sports 1]:[Inter School sports 50]])</f>
        <v>0</v>
      </c>
      <c r="O112" s="17">
        <f>COUNTIF(Table1910[[#This Row],[Community club (type name of club(s). All clubs will count as ''1'']],"*")</f>
        <v>0</v>
      </c>
      <c r="P112" s="17">
        <f>IF(OR(Table1910[[#This Row],[Total Challenges]]&gt;0,Table1910[[#This Row],[Total Ex-C Clubs]]&gt;0,Table1910[[#This Row],[Total Intra-School Sports]]&gt;0,Table1910[[#This Row],[Total Inter-School Sports]]&gt;0,Table1910[[#This Row],[Community Clubs]]&gt;0),1,0)</f>
        <v>0</v>
      </c>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21"/>
    </row>
    <row r="113" spans="1:218" x14ac:dyDescent="0.25">
      <c r="A113" s="17"/>
      <c r="B113" s="17"/>
      <c r="C113" s="17"/>
      <c r="D113" s="17"/>
      <c r="E113" s="17"/>
      <c r="F113" s="17"/>
      <c r="G113" s="17"/>
      <c r="H113" s="17"/>
      <c r="I113" s="17"/>
      <c r="J113" s="17"/>
      <c r="K113" s="17">
        <f>SUM(Table1910[[#This Row],[Challenge 1]:[Challenge 50]])</f>
        <v>0</v>
      </c>
      <c r="L113" s="88">
        <f>SUM(Table1910[[#This Row],[Club 1]:[Club 50]])</f>
        <v>0</v>
      </c>
      <c r="M113" s="90">
        <f>SUM(Table1910[[#This Row],[Intra-school sports 1]:[Intra-school sports 50]])</f>
        <v>0</v>
      </c>
      <c r="N113" s="88">
        <f>SUM(Table1910[[#This Row],[Inter School sports 1]:[Inter School sports 50]])</f>
        <v>0</v>
      </c>
      <c r="O113" s="17">
        <f>COUNTIF(Table1910[[#This Row],[Community club (type name of club(s). All clubs will count as ''1'']],"*")</f>
        <v>0</v>
      </c>
      <c r="P113" s="17">
        <f>IF(OR(Table1910[[#This Row],[Total Challenges]]&gt;0,Table1910[[#This Row],[Total Ex-C Clubs]]&gt;0,Table1910[[#This Row],[Total Intra-School Sports]]&gt;0,Table1910[[#This Row],[Total Inter-School Sports]]&gt;0,Table1910[[#This Row],[Community Clubs]]&gt;0),1,0)</f>
        <v>0</v>
      </c>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21"/>
    </row>
    <row r="114" spans="1:218" x14ac:dyDescent="0.25">
      <c r="A114" s="17"/>
      <c r="B114" s="17"/>
      <c r="C114" s="17"/>
      <c r="D114" s="17"/>
      <c r="E114" s="17"/>
      <c r="F114" s="17"/>
      <c r="G114" s="17"/>
      <c r="H114" s="17"/>
      <c r="I114" s="17"/>
      <c r="J114" s="17"/>
      <c r="K114" s="17">
        <f>SUM(Table1910[[#This Row],[Challenge 1]:[Challenge 50]])</f>
        <v>0</v>
      </c>
      <c r="L114" s="88">
        <f>SUM(Table1910[[#This Row],[Club 1]:[Club 50]])</f>
        <v>0</v>
      </c>
      <c r="M114" s="90">
        <f>SUM(Table1910[[#This Row],[Intra-school sports 1]:[Intra-school sports 50]])</f>
        <v>0</v>
      </c>
      <c r="N114" s="88">
        <f>SUM(Table1910[[#This Row],[Inter School sports 1]:[Inter School sports 50]])</f>
        <v>0</v>
      </c>
      <c r="O114" s="17">
        <f>COUNTIF(Table1910[[#This Row],[Community club (type name of club(s). All clubs will count as ''1'']],"*")</f>
        <v>0</v>
      </c>
      <c r="P114" s="17">
        <f>IF(OR(Table1910[[#This Row],[Total Challenges]]&gt;0,Table1910[[#This Row],[Total Ex-C Clubs]]&gt;0,Table1910[[#This Row],[Total Intra-School Sports]]&gt;0,Table1910[[#This Row],[Total Inter-School Sports]]&gt;0,Table1910[[#This Row],[Community Clubs]]&gt;0),1,0)</f>
        <v>0</v>
      </c>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21"/>
    </row>
    <row r="115" spans="1:218" x14ac:dyDescent="0.25">
      <c r="A115" s="17"/>
      <c r="B115" s="17"/>
      <c r="C115" s="17"/>
      <c r="D115" s="17"/>
      <c r="E115" s="17"/>
      <c r="F115" s="17"/>
      <c r="G115" s="17"/>
      <c r="H115" s="17"/>
      <c r="I115" s="17"/>
      <c r="J115" s="17"/>
      <c r="K115" s="17">
        <f>SUM(Table1910[[#This Row],[Challenge 1]:[Challenge 50]])</f>
        <v>0</v>
      </c>
      <c r="L115" s="88">
        <f>SUM(Table1910[[#This Row],[Club 1]:[Club 50]])</f>
        <v>0</v>
      </c>
      <c r="M115" s="90">
        <f>SUM(Table1910[[#This Row],[Intra-school sports 1]:[Intra-school sports 50]])</f>
        <v>0</v>
      </c>
      <c r="N115" s="88">
        <f>SUM(Table1910[[#This Row],[Inter School sports 1]:[Inter School sports 50]])</f>
        <v>0</v>
      </c>
      <c r="O115" s="17">
        <f>COUNTIF(Table1910[[#This Row],[Community club (type name of club(s). All clubs will count as ''1'']],"*")</f>
        <v>0</v>
      </c>
      <c r="P115" s="17">
        <f>IF(OR(Table1910[[#This Row],[Total Challenges]]&gt;0,Table1910[[#This Row],[Total Ex-C Clubs]]&gt;0,Table1910[[#This Row],[Total Intra-School Sports]]&gt;0,Table1910[[#This Row],[Total Inter-School Sports]]&gt;0,Table1910[[#This Row],[Community Clubs]]&gt;0),1,0)</f>
        <v>0</v>
      </c>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21"/>
    </row>
    <row r="116" spans="1:218" x14ac:dyDescent="0.25">
      <c r="A116" s="17"/>
      <c r="B116" s="17"/>
      <c r="C116" s="17"/>
      <c r="D116" s="17"/>
      <c r="E116" s="17"/>
      <c r="F116" s="17"/>
      <c r="G116" s="17"/>
      <c r="H116" s="17"/>
      <c r="I116" s="17"/>
      <c r="J116" s="17"/>
      <c r="K116" s="17">
        <f>SUM(Table1910[[#This Row],[Challenge 1]:[Challenge 50]])</f>
        <v>0</v>
      </c>
      <c r="L116" s="88">
        <f>SUM(Table1910[[#This Row],[Club 1]:[Club 50]])</f>
        <v>0</v>
      </c>
      <c r="M116" s="90">
        <f>SUM(Table1910[[#This Row],[Intra-school sports 1]:[Intra-school sports 50]])</f>
        <v>0</v>
      </c>
      <c r="N116" s="88">
        <f>SUM(Table1910[[#This Row],[Inter School sports 1]:[Inter School sports 50]])</f>
        <v>0</v>
      </c>
      <c r="O116" s="17">
        <f>COUNTIF(Table1910[[#This Row],[Community club (type name of club(s). All clubs will count as ''1'']],"*")</f>
        <v>0</v>
      </c>
      <c r="P116" s="17">
        <f>IF(OR(Table1910[[#This Row],[Total Challenges]]&gt;0,Table1910[[#This Row],[Total Ex-C Clubs]]&gt;0,Table1910[[#This Row],[Total Intra-School Sports]]&gt;0,Table1910[[#This Row],[Total Inter-School Sports]]&gt;0,Table1910[[#This Row],[Community Clubs]]&gt;0),1,0)</f>
        <v>0</v>
      </c>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21"/>
    </row>
    <row r="117" spans="1:218" x14ac:dyDescent="0.25">
      <c r="A117" s="17"/>
      <c r="B117" s="17"/>
      <c r="C117" s="17"/>
      <c r="D117" s="17"/>
      <c r="E117" s="17"/>
      <c r="F117" s="17"/>
      <c r="G117" s="17"/>
      <c r="H117" s="17"/>
      <c r="I117" s="17"/>
      <c r="J117" s="17"/>
      <c r="K117" s="17">
        <f>SUM(Table1910[[#This Row],[Challenge 1]:[Challenge 50]])</f>
        <v>0</v>
      </c>
      <c r="L117" s="88">
        <f>SUM(Table1910[[#This Row],[Club 1]:[Club 50]])</f>
        <v>0</v>
      </c>
      <c r="M117" s="90">
        <f>SUM(Table1910[[#This Row],[Intra-school sports 1]:[Intra-school sports 50]])</f>
        <v>0</v>
      </c>
      <c r="N117" s="88">
        <f>SUM(Table1910[[#This Row],[Inter School sports 1]:[Inter School sports 50]])</f>
        <v>0</v>
      </c>
      <c r="O117" s="17">
        <f>COUNTIF(Table1910[[#This Row],[Community club (type name of club(s). All clubs will count as ''1'']],"*")</f>
        <v>0</v>
      </c>
      <c r="P117" s="17">
        <f>IF(OR(Table1910[[#This Row],[Total Challenges]]&gt;0,Table1910[[#This Row],[Total Ex-C Clubs]]&gt;0,Table1910[[#This Row],[Total Intra-School Sports]]&gt;0,Table1910[[#This Row],[Total Inter-School Sports]]&gt;0,Table1910[[#This Row],[Community Clubs]]&gt;0),1,0)</f>
        <v>0</v>
      </c>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21"/>
    </row>
    <row r="118" spans="1:218" x14ac:dyDescent="0.25">
      <c r="A118" s="17"/>
      <c r="B118" s="17"/>
      <c r="C118" s="17"/>
      <c r="D118" s="17"/>
      <c r="E118" s="17"/>
      <c r="F118" s="17"/>
      <c r="G118" s="17"/>
      <c r="H118" s="17"/>
      <c r="I118" s="17"/>
      <c r="J118" s="17"/>
      <c r="K118" s="17">
        <f>SUM(Table1910[[#This Row],[Challenge 1]:[Challenge 50]])</f>
        <v>0</v>
      </c>
      <c r="L118" s="88">
        <f>SUM(Table1910[[#This Row],[Club 1]:[Club 50]])</f>
        <v>0</v>
      </c>
      <c r="M118" s="90">
        <f>SUM(Table1910[[#This Row],[Intra-school sports 1]:[Intra-school sports 50]])</f>
        <v>0</v>
      </c>
      <c r="N118" s="88">
        <f>SUM(Table1910[[#This Row],[Inter School sports 1]:[Inter School sports 50]])</f>
        <v>0</v>
      </c>
      <c r="O118" s="17">
        <f>COUNTIF(Table1910[[#This Row],[Community club (type name of club(s). All clubs will count as ''1'']],"*")</f>
        <v>0</v>
      </c>
      <c r="P118" s="17">
        <f>IF(OR(Table1910[[#This Row],[Total Challenges]]&gt;0,Table1910[[#This Row],[Total Ex-C Clubs]]&gt;0,Table1910[[#This Row],[Total Intra-School Sports]]&gt;0,Table1910[[#This Row],[Total Inter-School Sports]]&gt;0,Table1910[[#This Row],[Community Clubs]]&gt;0),1,0)</f>
        <v>0</v>
      </c>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21"/>
    </row>
    <row r="119" spans="1:218" x14ac:dyDescent="0.25">
      <c r="A119" s="17"/>
      <c r="B119" s="17"/>
      <c r="C119" s="17"/>
      <c r="D119" s="17"/>
      <c r="E119" s="17"/>
      <c r="F119" s="17"/>
      <c r="G119" s="17"/>
      <c r="H119" s="17"/>
      <c r="I119" s="17"/>
      <c r="J119" s="17"/>
      <c r="K119" s="17">
        <f>SUM(Table1910[[#This Row],[Challenge 1]:[Challenge 50]])</f>
        <v>0</v>
      </c>
      <c r="L119" s="88">
        <f>SUM(Table1910[[#This Row],[Club 1]:[Club 50]])</f>
        <v>0</v>
      </c>
      <c r="M119" s="90">
        <f>SUM(Table1910[[#This Row],[Intra-school sports 1]:[Intra-school sports 50]])</f>
        <v>0</v>
      </c>
      <c r="N119" s="88">
        <f>SUM(Table1910[[#This Row],[Inter School sports 1]:[Inter School sports 50]])</f>
        <v>0</v>
      </c>
      <c r="O119" s="17">
        <f>COUNTIF(Table1910[[#This Row],[Community club (type name of club(s). All clubs will count as ''1'']],"*")</f>
        <v>0</v>
      </c>
      <c r="P119" s="17">
        <f>IF(OR(Table1910[[#This Row],[Total Challenges]]&gt;0,Table1910[[#This Row],[Total Ex-C Clubs]]&gt;0,Table1910[[#This Row],[Total Intra-School Sports]]&gt;0,Table1910[[#This Row],[Total Inter-School Sports]]&gt;0,Table1910[[#This Row],[Community Clubs]]&gt;0),1,0)</f>
        <v>0</v>
      </c>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21"/>
    </row>
    <row r="120" spans="1:218" x14ac:dyDescent="0.25">
      <c r="A120" s="17"/>
      <c r="B120" s="17"/>
      <c r="C120" s="17"/>
      <c r="D120" s="17"/>
      <c r="E120" s="17"/>
      <c r="F120" s="17"/>
      <c r="G120" s="17"/>
      <c r="H120" s="17"/>
      <c r="I120" s="17"/>
      <c r="J120" s="17"/>
      <c r="K120" s="17">
        <f>SUM(Table1910[[#This Row],[Challenge 1]:[Challenge 50]])</f>
        <v>0</v>
      </c>
      <c r="L120" s="88">
        <f>SUM(Table1910[[#This Row],[Club 1]:[Club 50]])</f>
        <v>0</v>
      </c>
      <c r="M120" s="90">
        <f>SUM(Table1910[[#This Row],[Intra-school sports 1]:[Intra-school sports 50]])</f>
        <v>0</v>
      </c>
      <c r="N120" s="88">
        <f>SUM(Table1910[[#This Row],[Inter School sports 1]:[Inter School sports 50]])</f>
        <v>0</v>
      </c>
      <c r="O120" s="17">
        <f>COUNTIF(Table1910[[#This Row],[Community club (type name of club(s). All clubs will count as ''1'']],"*")</f>
        <v>0</v>
      </c>
      <c r="P120" s="17">
        <f>IF(OR(Table1910[[#This Row],[Total Challenges]]&gt;0,Table1910[[#This Row],[Total Ex-C Clubs]]&gt;0,Table1910[[#This Row],[Total Intra-School Sports]]&gt;0,Table1910[[#This Row],[Total Inter-School Sports]]&gt;0,Table1910[[#This Row],[Community Clubs]]&gt;0),1,0)</f>
        <v>0</v>
      </c>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21"/>
    </row>
    <row r="121" spans="1:218" x14ac:dyDescent="0.25">
      <c r="A121" s="17"/>
      <c r="B121" s="17"/>
      <c r="C121" s="17"/>
      <c r="D121" s="17"/>
      <c r="E121" s="17"/>
      <c r="F121" s="17"/>
      <c r="G121" s="17"/>
      <c r="H121" s="17"/>
      <c r="I121" s="17"/>
      <c r="J121" s="17"/>
      <c r="K121" s="17">
        <f>SUM(Table1910[[#This Row],[Challenge 1]:[Challenge 50]])</f>
        <v>0</v>
      </c>
      <c r="L121" s="88">
        <f>SUM(Table1910[[#This Row],[Club 1]:[Club 50]])</f>
        <v>0</v>
      </c>
      <c r="M121" s="90">
        <f>SUM(Table1910[[#This Row],[Intra-school sports 1]:[Intra-school sports 50]])</f>
        <v>0</v>
      </c>
      <c r="N121" s="88">
        <f>SUM(Table1910[[#This Row],[Inter School sports 1]:[Inter School sports 50]])</f>
        <v>0</v>
      </c>
      <c r="O121" s="17">
        <f>COUNTIF(Table1910[[#This Row],[Community club (type name of club(s). All clubs will count as ''1'']],"*")</f>
        <v>0</v>
      </c>
      <c r="P121" s="17">
        <f>IF(OR(Table1910[[#This Row],[Total Challenges]]&gt;0,Table1910[[#This Row],[Total Ex-C Clubs]]&gt;0,Table1910[[#This Row],[Total Intra-School Sports]]&gt;0,Table1910[[#This Row],[Total Inter-School Sports]]&gt;0,Table1910[[#This Row],[Community Clubs]]&gt;0),1,0)</f>
        <v>0</v>
      </c>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21"/>
    </row>
    <row r="122" spans="1:218" x14ac:dyDescent="0.25">
      <c r="A122" s="17"/>
      <c r="B122" s="17"/>
      <c r="C122" s="17"/>
      <c r="D122" s="17"/>
      <c r="E122" s="17"/>
      <c r="F122" s="17"/>
      <c r="G122" s="17"/>
      <c r="H122" s="17"/>
      <c r="I122" s="17"/>
      <c r="J122" s="17"/>
      <c r="K122" s="17">
        <f>SUM(Table1910[[#This Row],[Challenge 1]:[Challenge 50]])</f>
        <v>0</v>
      </c>
      <c r="L122" s="88">
        <f>SUM(Table1910[[#This Row],[Club 1]:[Club 50]])</f>
        <v>0</v>
      </c>
      <c r="M122" s="90">
        <f>SUM(Table1910[[#This Row],[Intra-school sports 1]:[Intra-school sports 50]])</f>
        <v>0</v>
      </c>
      <c r="N122" s="88">
        <f>SUM(Table1910[[#This Row],[Inter School sports 1]:[Inter School sports 50]])</f>
        <v>0</v>
      </c>
      <c r="O122" s="17">
        <f>COUNTIF(Table1910[[#This Row],[Community club (type name of club(s). All clubs will count as ''1'']],"*")</f>
        <v>0</v>
      </c>
      <c r="P122" s="17">
        <f>IF(OR(Table1910[[#This Row],[Total Challenges]]&gt;0,Table1910[[#This Row],[Total Ex-C Clubs]]&gt;0,Table1910[[#This Row],[Total Intra-School Sports]]&gt;0,Table1910[[#This Row],[Total Inter-School Sports]]&gt;0,Table1910[[#This Row],[Community Clubs]]&gt;0),1,0)</f>
        <v>0</v>
      </c>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21"/>
    </row>
    <row r="123" spans="1:218" x14ac:dyDescent="0.25">
      <c r="A123" s="17"/>
      <c r="B123" s="17"/>
      <c r="C123" s="17"/>
      <c r="D123" s="17"/>
      <c r="E123" s="17"/>
      <c r="F123" s="17"/>
      <c r="G123" s="17"/>
      <c r="H123" s="17"/>
      <c r="I123" s="17"/>
      <c r="J123" s="17"/>
      <c r="K123" s="17">
        <f>SUM(Table1910[[#This Row],[Challenge 1]:[Challenge 50]])</f>
        <v>0</v>
      </c>
      <c r="L123" s="88">
        <f>SUM(Table1910[[#This Row],[Club 1]:[Club 50]])</f>
        <v>0</v>
      </c>
      <c r="M123" s="90">
        <f>SUM(Table1910[[#This Row],[Intra-school sports 1]:[Intra-school sports 50]])</f>
        <v>0</v>
      </c>
      <c r="N123" s="88">
        <f>SUM(Table1910[[#This Row],[Inter School sports 1]:[Inter School sports 50]])</f>
        <v>0</v>
      </c>
      <c r="O123" s="17">
        <f>COUNTIF(Table1910[[#This Row],[Community club (type name of club(s). All clubs will count as ''1'']],"*")</f>
        <v>0</v>
      </c>
      <c r="P123" s="17">
        <f>IF(OR(Table1910[[#This Row],[Total Challenges]]&gt;0,Table1910[[#This Row],[Total Ex-C Clubs]]&gt;0,Table1910[[#This Row],[Total Intra-School Sports]]&gt;0,Table1910[[#This Row],[Total Inter-School Sports]]&gt;0,Table1910[[#This Row],[Community Clubs]]&gt;0),1,0)</f>
        <v>0</v>
      </c>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21"/>
    </row>
    <row r="124" spans="1:218" x14ac:dyDescent="0.25">
      <c r="A124" s="17"/>
      <c r="B124" s="17"/>
      <c r="C124" s="17"/>
      <c r="D124" s="17"/>
      <c r="E124" s="17"/>
      <c r="F124" s="17"/>
      <c r="G124" s="17"/>
      <c r="H124" s="17"/>
      <c r="I124" s="17"/>
      <c r="J124" s="17"/>
      <c r="K124" s="17">
        <f>SUM(Table1910[[#This Row],[Challenge 1]:[Challenge 50]])</f>
        <v>0</v>
      </c>
      <c r="L124" s="88">
        <f>SUM(Table1910[[#This Row],[Club 1]:[Club 50]])</f>
        <v>0</v>
      </c>
      <c r="M124" s="90">
        <f>SUM(Table1910[[#This Row],[Intra-school sports 1]:[Intra-school sports 50]])</f>
        <v>0</v>
      </c>
      <c r="N124" s="88">
        <f>SUM(Table1910[[#This Row],[Inter School sports 1]:[Inter School sports 50]])</f>
        <v>0</v>
      </c>
      <c r="O124" s="17">
        <f>COUNTIF(Table1910[[#This Row],[Community club (type name of club(s). All clubs will count as ''1'']],"*")</f>
        <v>0</v>
      </c>
      <c r="P124" s="17">
        <f>IF(OR(Table1910[[#This Row],[Total Challenges]]&gt;0,Table1910[[#This Row],[Total Ex-C Clubs]]&gt;0,Table1910[[#This Row],[Total Intra-School Sports]]&gt;0,Table1910[[#This Row],[Total Inter-School Sports]]&gt;0,Table1910[[#This Row],[Community Clubs]]&gt;0),1,0)</f>
        <v>0</v>
      </c>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21"/>
    </row>
    <row r="125" spans="1:218" x14ac:dyDescent="0.25">
      <c r="A125" s="17"/>
      <c r="B125" s="17"/>
      <c r="C125" s="17"/>
      <c r="D125" s="17"/>
      <c r="E125" s="17"/>
      <c r="F125" s="17"/>
      <c r="G125" s="17"/>
      <c r="H125" s="17"/>
      <c r="I125" s="17"/>
      <c r="J125" s="17"/>
      <c r="K125" s="17">
        <f>SUM(Table1910[[#This Row],[Challenge 1]:[Challenge 50]])</f>
        <v>0</v>
      </c>
      <c r="L125" s="88">
        <f>SUM(Table1910[[#This Row],[Club 1]:[Club 50]])</f>
        <v>0</v>
      </c>
      <c r="M125" s="90">
        <f>SUM(Table1910[[#This Row],[Intra-school sports 1]:[Intra-school sports 50]])</f>
        <v>0</v>
      </c>
      <c r="N125" s="88">
        <f>SUM(Table1910[[#This Row],[Inter School sports 1]:[Inter School sports 50]])</f>
        <v>0</v>
      </c>
      <c r="O125" s="17">
        <f>COUNTIF(Table1910[[#This Row],[Community club (type name of club(s). All clubs will count as ''1'']],"*")</f>
        <v>0</v>
      </c>
      <c r="P125" s="17">
        <f>IF(OR(Table1910[[#This Row],[Total Challenges]]&gt;0,Table1910[[#This Row],[Total Ex-C Clubs]]&gt;0,Table1910[[#This Row],[Total Intra-School Sports]]&gt;0,Table1910[[#This Row],[Total Inter-School Sports]]&gt;0,Table1910[[#This Row],[Community Clubs]]&gt;0),1,0)</f>
        <v>0</v>
      </c>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21"/>
    </row>
    <row r="126" spans="1:218" x14ac:dyDescent="0.25">
      <c r="A126" s="17"/>
      <c r="B126" s="17"/>
      <c r="C126" s="17"/>
      <c r="D126" s="17"/>
      <c r="E126" s="17"/>
      <c r="F126" s="17"/>
      <c r="G126" s="17"/>
      <c r="H126" s="17"/>
      <c r="I126" s="17"/>
      <c r="J126" s="17"/>
      <c r="K126" s="17">
        <f>SUM(Table1910[[#This Row],[Challenge 1]:[Challenge 50]])</f>
        <v>0</v>
      </c>
      <c r="L126" s="88">
        <f>SUM(Table1910[[#This Row],[Club 1]:[Club 50]])</f>
        <v>0</v>
      </c>
      <c r="M126" s="90">
        <f>SUM(Table1910[[#This Row],[Intra-school sports 1]:[Intra-school sports 50]])</f>
        <v>0</v>
      </c>
      <c r="N126" s="88">
        <f>SUM(Table1910[[#This Row],[Inter School sports 1]:[Inter School sports 50]])</f>
        <v>0</v>
      </c>
      <c r="O126" s="17">
        <f>COUNTIF(Table1910[[#This Row],[Community club (type name of club(s). All clubs will count as ''1'']],"*")</f>
        <v>0</v>
      </c>
      <c r="P126" s="17">
        <f>IF(OR(Table1910[[#This Row],[Total Challenges]]&gt;0,Table1910[[#This Row],[Total Ex-C Clubs]]&gt;0,Table1910[[#This Row],[Total Intra-School Sports]]&gt;0,Table1910[[#This Row],[Total Inter-School Sports]]&gt;0,Table1910[[#This Row],[Community Clubs]]&gt;0),1,0)</f>
        <v>0</v>
      </c>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21"/>
    </row>
    <row r="127" spans="1:218" x14ac:dyDescent="0.25">
      <c r="A127" s="17"/>
      <c r="B127" s="17"/>
      <c r="C127" s="17"/>
      <c r="D127" s="17"/>
      <c r="E127" s="17"/>
      <c r="F127" s="17"/>
      <c r="G127" s="17"/>
      <c r="H127" s="17"/>
      <c r="I127" s="17"/>
      <c r="J127" s="17"/>
      <c r="K127" s="17">
        <f>SUM(Table1910[[#This Row],[Challenge 1]:[Challenge 50]])</f>
        <v>0</v>
      </c>
      <c r="L127" s="88">
        <f>SUM(Table1910[[#This Row],[Club 1]:[Club 50]])</f>
        <v>0</v>
      </c>
      <c r="M127" s="90">
        <f>SUM(Table1910[[#This Row],[Intra-school sports 1]:[Intra-school sports 50]])</f>
        <v>0</v>
      </c>
      <c r="N127" s="88">
        <f>SUM(Table1910[[#This Row],[Inter School sports 1]:[Inter School sports 50]])</f>
        <v>0</v>
      </c>
      <c r="O127" s="17">
        <f>COUNTIF(Table1910[[#This Row],[Community club (type name of club(s). All clubs will count as ''1'']],"*")</f>
        <v>0</v>
      </c>
      <c r="P127" s="17">
        <f>IF(OR(Table1910[[#This Row],[Total Challenges]]&gt;0,Table1910[[#This Row],[Total Ex-C Clubs]]&gt;0,Table1910[[#This Row],[Total Intra-School Sports]]&gt;0,Table1910[[#This Row],[Total Inter-School Sports]]&gt;0,Table1910[[#This Row],[Community Clubs]]&gt;0),1,0)</f>
        <v>0</v>
      </c>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21"/>
    </row>
    <row r="128" spans="1:218" x14ac:dyDescent="0.25">
      <c r="A128" s="17"/>
      <c r="B128" s="17"/>
      <c r="C128" s="17"/>
      <c r="D128" s="17"/>
      <c r="E128" s="17"/>
      <c r="F128" s="17"/>
      <c r="G128" s="17"/>
      <c r="H128" s="17"/>
      <c r="I128" s="17"/>
      <c r="J128" s="17"/>
      <c r="K128" s="17">
        <f>SUM(Table1910[[#This Row],[Challenge 1]:[Challenge 50]])</f>
        <v>0</v>
      </c>
      <c r="L128" s="88">
        <f>SUM(Table1910[[#This Row],[Club 1]:[Club 50]])</f>
        <v>0</v>
      </c>
      <c r="M128" s="90">
        <f>SUM(Table1910[[#This Row],[Intra-school sports 1]:[Intra-school sports 50]])</f>
        <v>0</v>
      </c>
      <c r="N128" s="88">
        <f>SUM(Table1910[[#This Row],[Inter School sports 1]:[Inter School sports 50]])</f>
        <v>0</v>
      </c>
      <c r="O128" s="17">
        <f>COUNTIF(Table1910[[#This Row],[Community club (type name of club(s). All clubs will count as ''1'']],"*")</f>
        <v>0</v>
      </c>
      <c r="P128" s="17">
        <f>IF(OR(Table1910[[#This Row],[Total Challenges]]&gt;0,Table1910[[#This Row],[Total Ex-C Clubs]]&gt;0,Table1910[[#This Row],[Total Intra-School Sports]]&gt;0,Table1910[[#This Row],[Total Inter-School Sports]]&gt;0,Table1910[[#This Row],[Community Clubs]]&gt;0),1,0)</f>
        <v>0</v>
      </c>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21"/>
    </row>
    <row r="129" spans="1:218" x14ac:dyDescent="0.25">
      <c r="A129" s="17"/>
      <c r="B129" s="17"/>
      <c r="C129" s="17"/>
      <c r="D129" s="17"/>
      <c r="E129" s="17"/>
      <c r="F129" s="17"/>
      <c r="G129" s="17"/>
      <c r="H129" s="17"/>
      <c r="I129" s="17"/>
      <c r="J129" s="17"/>
      <c r="K129" s="17">
        <f>SUM(Table1910[[#This Row],[Challenge 1]:[Challenge 50]])</f>
        <v>0</v>
      </c>
      <c r="L129" s="88">
        <f>SUM(Table1910[[#This Row],[Club 1]:[Club 50]])</f>
        <v>0</v>
      </c>
      <c r="M129" s="90">
        <f>SUM(Table1910[[#This Row],[Intra-school sports 1]:[Intra-school sports 50]])</f>
        <v>0</v>
      </c>
      <c r="N129" s="88">
        <f>SUM(Table1910[[#This Row],[Inter School sports 1]:[Inter School sports 50]])</f>
        <v>0</v>
      </c>
      <c r="O129" s="17">
        <f>COUNTIF(Table1910[[#This Row],[Community club (type name of club(s). All clubs will count as ''1'']],"*")</f>
        <v>0</v>
      </c>
      <c r="P129" s="17">
        <f>IF(OR(Table1910[[#This Row],[Total Challenges]]&gt;0,Table1910[[#This Row],[Total Ex-C Clubs]]&gt;0,Table1910[[#This Row],[Total Intra-School Sports]]&gt;0,Table1910[[#This Row],[Total Inter-School Sports]]&gt;0,Table1910[[#This Row],[Community Clubs]]&gt;0),1,0)</f>
        <v>0</v>
      </c>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21"/>
    </row>
    <row r="130" spans="1:218" x14ac:dyDescent="0.25">
      <c r="A130" s="17"/>
      <c r="B130" s="17"/>
      <c r="C130" s="17"/>
      <c r="D130" s="17"/>
      <c r="E130" s="17"/>
      <c r="F130" s="17"/>
      <c r="G130" s="17"/>
      <c r="H130" s="17"/>
      <c r="I130" s="17"/>
      <c r="J130" s="17"/>
      <c r="K130" s="17">
        <f>SUM(Table1910[[#This Row],[Challenge 1]:[Challenge 50]])</f>
        <v>0</v>
      </c>
      <c r="L130" s="88">
        <f>SUM(Table1910[[#This Row],[Club 1]:[Club 50]])</f>
        <v>0</v>
      </c>
      <c r="M130" s="90">
        <f>SUM(Table1910[[#This Row],[Intra-school sports 1]:[Intra-school sports 50]])</f>
        <v>0</v>
      </c>
      <c r="N130" s="88">
        <f>SUM(Table1910[[#This Row],[Inter School sports 1]:[Inter School sports 50]])</f>
        <v>0</v>
      </c>
      <c r="O130" s="17">
        <f>COUNTIF(Table1910[[#This Row],[Community club (type name of club(s). All clubs will count as ''1'']],"*")</f>
        <v>0</v>
      </c>
      <c r="P130" s="17">
        <f>IF(OR(Table1910[[#This Row],[Total Challenges]]&gt;0,Table1910[[#This Row],[Total Ex-C Clubs]]&gt;0,Table1910[[#This Row],[Total Intra-School Sports]]&gt;0,Table1910[[#This Row],[Total Inter-School Sports]]&gt;0,Table1910[[#This Row],[Community Clubs]]&gt;0),1,0)</f>
        <v>0</v>
      </c>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21"/>
    </row>
    <row r="131" spans="1:218" x14ac:dyDescent="0.25">
      <c r="A131" s="17"/>
      <c r="B131" s="17"/>
      <c r="C131" s="17"/>
      <c r="D131" s="17"/>
      <c r="E131" s="17"/>
      <c r="F131" s="17"/>
      <c r="G131" s="17"/>
      <c r="H131" s="17"/>
      <c r="I131" s="17"/>
      <c r="J131" s="17"/>
      <c r="K131" s="17">
        <f>SUM(Table1910[[#This Row],[Challenge 1]:[Challenge 50]])</f>
        <v>0</v>
      </c>
      <c r="L131" s="88">
        <f>SUM(Table1910[[#This Row],[Club 1]:[Club 50]])</f>
        <v>0</v>
      </c>
      <c r="M131" s="90">
        <f>SUM(Table1910[[#This Row],[Intra-school sports 1]:[Intra-school sports 50]])</f>
        <v>0</v>
      </c>
      <c r="N131" s="88">
        <f>SUM(Table1910[[#This Row],[Inter School sports 1]:[Inter School sports 50]])</f>
        <v>0</v>
      </c>
      <c r="O131" s="17">
        <f>COUNTIF(Table1910[[#This Row],[Community club (type name of club(s). All clubs will count as ''1'']],"*")</f>
        <v>0</v>
      </c>
      <c r="P131" s="17">
        <f>IF(OR(Table1910[[#This Row],[Total Challenges]]&gt;0,Table1910[[#This Row],[Total Ex-C Clubs]]&gt;0,Table1910[[#This Row],[Total Intra-School Sports]]&gt;0,Table1910[[#This Row],[Total Inter-School Sports]]&gt;0,Table1910[[#This Row],[Community Clubs]]&gt;0),1,0)</f>
        <v>0</v>
      </c>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21"/>
    </row>
    <row r="132" spans="1:218" x14ac:dyDescent="0.25">
      <c r="A132" s="17"/>
      <c r="B132" s="17"/>
      <c r="C132" s="17"/>
      <c r="D132" s="17"/>
      <c r="E132" s="17"/>
      <c r="F132" s="17"/>
      <c r="G132" s="17"/>
      <c r="H132" s="17"/>
      <c r="I132" s="17"/>
      <c r="J132" s="17"/>
      <c r="K132" s="17">
        <f>SUM(Table1910[[#This Row],[Challenge 1]:[Challenge 50]])</f>
        <v>0</v>
      </c>
      <c r="L132" s="88">
        <f>SUM(Table1910[[#This Row],[Club 1]:[Club 50]])</f>
        <v>0</v>
      </c>
      <c r="M132" s="90">
        <f>SUM(Table1910[[#This Row],[Intra-school sports 1]:[Intra-school sports 50]])</f>
        <v>0</v>
      </c>
      <c r="N132" s="88">
        <f>SUM(Table1910[[#This Row],[Inter School sports 1]:[Inter School sports 50]])</f>
        <v>0</v>
      </c>
      <c r="O132" s="17">
        <f>COUNTIF(Table1910[[#This Row],[Community club (type name of club(s). All clubs will count as ''1'']],"*")</f>
        <v>0</v>
      </c>
      <c r="P132" s="17">
        <f>IF(OR(Table1910[[#This Row],[Total Challenges]]&gt;0,Table1910[[#This Row],[Total Ex-C Clubs]]&gt;0,Table1910[[#This Row],[Total Intra-School Sports]]&gt;0,Table1910[[#This Row],[Total Inter-School Sports]]&gt;0,Table1910[[#This Row],[Community Clubs]]&gt;0),1,0)</f>
        <v>0</v>
      </c>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21"/>
    </row>
    <row r="133" spans="1:218" x14ac:dyDescent="0.25">
      <c r="A133" s="17"/>
      <c r="B133" s="17"/>
      <c r="C133" s="17"/>
      <c r="D133" s="17"/>
      <c r="E133" s="17"/>
      <c r="F133" s="17"/>
      <c r="G133" s="17"/>
      <c r="H133" s="17"/>
      <c r="I133" s="17"/>
      <c r="J133" s="17"/>
      <c r="K133" s="17">
        <f>SUM(Table1910[[#This Row],[Challenge 1]:[Challenge 50]])</f>
        <v>0</v>
      </c>
      <c r="L133" s="88">
        <f>SUM(Table1910[[#This Row],[Club 1]:[Club 50]])</f>
        <v>0</v>
      </c>
      <c r="M133" s="90">
        <f>SUM(Table1910[[#This Row],[Intra-school sports 1]:[Intra-school sports 50]])</f>
        <v>0</v>
      </c>
      <c r="N133" s="88">
        <f>SUM(Table1910[[#This Row],[Inter School sports 1]:[Inter School sports 50]])</f>
        <v>0</v>
      </c>
      <c r="O133" s="17">
        <f>COUNTIF(Table1910[[#This Row],[Community club (type name of club(s). All clubs will count as ''1'']],"*")</f>
        <v>0</v>
      </c>
      <c r="P133" s="17">
        <f>IF(OR(Table1910[[#This Row],[Total Challenges]]&gt;0,Table1910[[#This Row],[Total Ex-C Clubs]]&gt;0,Table1910[[#This Row],[Total Intra-School Sports]]&gt;0,Table1910[[#This Row],[Total Inter-School Sports]]&gt;0,Table1910[[#This Row],[Community Clubs]]&gt;0),1,0)</f>
        <v>0</v>
      </c>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21"/>
    </row>
    <row r="134" spans="1:218" x14ac:dyDescent="0.25">
      <c r="A134" s="17"/>
      <c r="B134" s="17"/>
      <c r="C134" s="17"/>
      <c r="D134" s="17"/>
      <c r="E134" s="17"/>
      <c r="F134" s="17"/>
      <c r="G134" s="17"/>
      <c r="H134" s="17"/>
      <c r="I134" s="17"/>
      <c r="J134" s="17"/>
      <c r="K134" s="17">
        <f>SUM(Table1910[[#This Row],[Challenge 1]:[Challenge 50]])</f>
        <v>0</v>
      </c>
      <c r="L134" s="88">
        <f>SUM(Table1910[[#This Row],[Club 1]:[Club 50]])</f>
        <v>0</v>
      </c>
      <c r="M134" s="90">
        <f>SUM(Table1910[[#This Row],[Intra-school sports 1]:[Intra-school sports 50]])</f>
        <v>0</v>
      </c>
      <c r="N134" s="88">
        <f>SUM(Table1910[[#This Row],[Inter School sports 1]:[Inter School sports 50]])</f>
        <v>0</v>
      </c>
      <c r="O134" s="17">
        <f>COUNTIF(Table1910[[#This Row],[Community club (type name of club(s). All clubs will count as ''1'']],"*")</f>
        <v>0</v>
      </c>
      <c r="P134" s="17">
        <f>IF(OR(Table1910[[#This Row],[Total Challenges]]&gt;0,Table1910[[#This Row],[Total Ex-C Clubs]]&gt;0,Table1910[[#This Row],[Total Intra-School Sports]]&gt;0,Table1910[[#This Row],[Total Inter-School Sports]]&gt;0,Table1910[[#This Row],[Community Clubs]]&gt;0),1,0)</f>
        <v>0</v>
      </c>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21"/>
    </row>
    <row r="135" spans="1:218" x14ac:dyDescent="0.25">
      <c r="A135" s="17"/>
      <c r="B135" s="17"/>
      <c r="C135" s="17"/>
      <c r="D135" s="17"/>
      <c r="E135" s="17"/>
      <c r="F135" s="17"/>
      <c r="G135" s="17"/>
      <c r="H135" s="17"/>
      <c r="I135" s="17"/>
      <c r="J135" s="17"/>
      <c r="K135" s="17">
        <f>SUM(Table1910[[#This Row],[Challenge 1]:[Challenge 50]])</f>
        <v>0</v>
      </c>
      <c r="L135" s="88">
        <f>SUM(Table1910[[#This Row],[Club 1]:[Club 50]])</f>
        <v>0</v>
      </c>
      <c r="M135" s="90">
        <f>SUM(Table1910[[#This Row],[Intra-school sports 1]:[Intra-school sports 50]])</f>
        <v>0</v>
      </c>
      <c r="N135" s="88">
        <f>SUM(Table1910[[#This Row],[Inter School sports 1]:[Inter School sports 50]])</f>
        <v>0</v>
      </c>
      <c r="O135" s="17">
        <f>COUNTIF(Table1910[[#This Row],[Community club (type name of club(s). All clubs will count as ''1'']],"*")</f>
        <v>0</v>
      </c>
      <c r="P135" s="17">
        <f>IF(OR(Table1910[[#This Row],[Total Challenges]]&gt;0,Table1910[[#This Row],[Total Ex-C Clubs]]&gt;0,Table1910[[#This Row],[Total Intra-School Sports]]&gt;0,Table1910[[#This Row],[Total Inter-School Sports]]&gt;0,Table1910[[#This Row],[Community Clubs]]&gt;0),1,0)</f>
        <v>0</v>
      </c>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21"/>
    </row>
    <row r="136" spans="1:218" x14ac:dyDescent="0.25">
      <c r="A136" s="17"/>
      <c r="B136" s="17"/>
      <c r="C136" s="17"/>
      <c r="D136" s="17"/>
      <c r="E136" s="17"/>
      <c r="F136" s="17"/>
      <c r="G136" s="17"/>
      <c r="H136" s="17"/>
      <c r="I136" s="17"/>
      <c r="J136" s="17"/>
      <c r="K136" s="17">
        <f>SUM(Table1910[[#This Row],[Challenge 1]:[Challenge 50]])</f>
        <v>0</v>
      </c>
      <c r="L136" s="88">
        <f>SUM(Table1910[[#This Row],[Club 1]:[Club 50]])</f>
        <v>0</v>
      </c>
      <c r="M136" s="90">
        <f>SUM(Table1910[[#This Row],[Intra-school sports 1]:[Intra-school sports 50]])</f>
        <v>0</v>
      </c>
      <c r="N136" s="88">
        <f>SUM(Table1910[[#This Row],[Inter School sports 1]:[Inter School sports 50]])</f>
        <v>0</v>
      </c>
      <c r="O136" s="17">
        <f>COUNTIF(Table1910[[#This Row],[Community club (type name of club(s). All clubs will count as ''1'']],"*")</f>
        <v>0</v>
      </c>
      <c r="P136" s="17">
        <f>IF(OR(Table1910[[#This Row],[Total Challenges]]&gt;0,Table1910[[#This Row],[Total Ex-C Clubs]]&gt;0,Table1910[[#This Row],[Total Intra-School Sports]]&gt;0,Table1910[[#This Row],[Total Inter-School Sports]]&gt;0,Table1910[[#This Row],[Community Clubs]]&gt;0),1,0)</f>
        <v>0</v>
      </c>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21"/>
    </row>
    <row r="137" spans="1:218" x14ac:dyDescent="0.25">
      <c r="A137" s="17"/>
      <c r="B137" s="17"/>
      <c r="C137" s="17"/>
      <c r="D137" s="17"/>
      <c r="E137" s="17"/>
      <c r="F137" s="17"/>
      <c r="G137" s="17"/>
      <c r="H137" s="17"/>
      <c r="I137" s="17"/>
      <c r="J137" s="17"/>
      <c r="K137" s="17">
        <f>SUM(Table1910[[#This Row],[Challenge 1]:[Challenge 50]])</f>
        <v>0</v>
      </c>
      <c r="L137" s="88">
        <f>SUM(Table1910[[#This Row],[Club 1]:[Club 50]])</f>
        <v>0</v>
      </c>
      <c r="M137" s="90">
        <f>SUM(Table1910[[#This Row],[Intra-school sports 1]:[Intra-school sports 50]])</f>
        <v>0</v>
      </c>
      <c r="N137" s="88">
        <f>SUM(Table1910[[#This Row],[Inter School sports 1]:[Inter School sports 50]])</f>
        <v>0</v>
      </c>
      <c r="O137" s="17">
        <f>COUNTIF(Table1910[[#This Row],[Community club (type name of club(s). All clubs will count as ''1'']],"*")</f>
        <v>0</v>
      </c>
      <c r="P137" s="17">
        <f>IF(OR(Table1910[[#This Row],[Total Challenges]]&gt;0,Table1910[[#This Row],[Total Ex-C Clubs]]&gt;0,Table1910[[#This Row],[Total Intra-School Sports]]&gt;0,Table1910[[#This Row],[Total Inter-School Sports]]&gt;0,Table1910[[#This Row],[Community Clubs]]&gt;0),1,0)</f>
        <v>0</v>
      </c>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21"/>
    </row>
    <row r="138" spans="1:218" x14ac:dyDescent="0.25">
      <c r="A138" s="17"/>
      <c r="B138" s="17"/>
      <c r="C138" s="17"/>
      <c r="D138" s="17"/>
      <c r="E138" s="17"/>
      <c r="F138" s="17"/>
      <c r="G138" s="17"/>
      <c r="H138" s="17"/>
      <c r="I138" s="17"/>
      <c r="J138" s="17"/>
      <c r="K138" s="17">
        <f>SUM(Table1910[[#This Row],[Challenge 1]:[Challenge 50]])</f>
        <v>0</v>
      </c>
      <c r="L138" s="88">
        <f>SUM(Table1910[[#This Row],[Club 1]:[Club 50]])</f>
        <v>0</v>
      </c>
      <c r="M138" s="90">
        <f>SUM(Table1910[[#This Row],[Intra-school sports 1]:[Intra-school sports 50]])</f>
        <v>0</v>
      </c>
      <c r="N138" s="88">
        <f>SUM(Table1910[[#This Row],[Inter School sports 1]:[Inter School sports 50]])</f>
        <v>0</v>
      </c>
      <c r="O138" s="17">
        <f>COUNTIF(Table1910[[#This Row],[Community club (type name of club(s). All clubs will count as ''1'']],"*")</f>
        <v>0</v>
      </c>
      <c r="P138" s="17">
        <f>IF(OR(Table1910[[#This Row],[Total Challenges]]&gt;0,Table1910[[#This Row],[Total Ex-C Clubs]]&gt;0,Table1910[[#This Row],[Total Intra-School Sports]]&gt;0,Table1910[[#This Row],[Total Inter-School Sports]]&gt;0,Table1910[[#This Row],[Community Clubs]]&gt;0),1,0)</f>
        <v>0</v>
      </c>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21"/>
    </row>
    <row r="139" spans="1:218" x14ac:dyDescent="0.25">
      <c r="A139" s="17"/>
      <c r="B139" s="17"/>
      <c r="C139" s="17"/>
      <c r="D139" s="17"/>
      <c r="E139" s="17"/>
      <c r="F139" s="17"/>
      <c r="G139" s="17"/>
      <c r="H139" s="17"/>
      <c r="I139" s="17"/>
      <c r="J139" s="17"/>
      <c r="K139" s="17">
        <f>SUM(Table1910[[#This Row],[Challenge 1]:[Challenge 50]])</f>
        <v>0</v>
      </c>
      <c r="L139" s="88">
        <f>SUM(Table1910[[#This Row],[Club 1]:[Club 50]])</f>
        <v>0</v>
      </c>
      <c r="M139" s="90">
        <f>SUM(Table1910[[#This Row],[Intra-school sports 1]:[Intra-school sports 50]])</f>
        <v>0</v>
      </c>
      <c r="N139" s="88">
        <f>SUM(Table1910[[#This Row],[Inter School sports 1]:[Inter School sports 50]])</f>
        <v>0</v>
      </c>
      <c r="O139" s="17">
        <f>COUNTIF(Table1910[[#This Row],[Community club (type name of club(s). All clubs will count as ''1'']],"*")</f>
        <v>0</v>
      </c>
      <c r="P139" s="17">
        <f>IF(OR(Table1910[[#This Row],[Total Challenges]]&gt;0,Table1910[[#This Row],[Total Ex-C Clubs]]&gt;0,Table1910[[#This Row],[Total Intra-School Sports]]&gt;0,Table1910[[#This Row],[Total Inter-School Sports]]&gt;0,Table1910[[#This Row],[Community Clubs]]&gt;0),1,0)</f>
        <v>0</v>
      </c>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21"/>
    </row>
    <row r="140" spans="1:218" x14ac:dyDescent="0.25">
      <c r="A140" s="17"/>
      <c r="B140" s="17"/>
      <c r="C140" s="17"/>
      <c r="D140" s="17"/>
      <c r="E140" s="17"/>
      <c r="F140" s="17"/>
      <c r="G140" s="17"/>
      <c r="H140" s="17"/>
      <c r="I140" s="17"/>
      <c r="J140" s="17"/>
      <c r="K140" s="17">
        <f>SUM(Table1910[[#This Row],[Challenge 1]:[Challenge 50]])</f>
        <v>0</v>
      </c>
      <c r="L140" s="88">
        <f>SUM(Table1910[[#This Row],[Club 1]:[Club 50]])</f>
        <v>0</v>
      </c>
      <c r="M140" s="90">
        <f>SUM(Table1910[[#This Row],[Intra-school sports 1]:[Intra-school sports 50]])</f>
        <v>0</v>
      </c>
      <c r="N140" s="88">
        <f>SUM(Table1910[[#This Row],[Inter School sports 1]:[Inter School sports 50]])</f>
        <v>0</v>
      </c>
      <c r="O140" s="17">
        <f>COUNTIF(Table1910[[#This Row],[Community club (type name of club(s). All clubs will count as ''1'']],"*")</f>
        <v>0</v>
      </c>
      <c r="P140" s="17">
        <f>IF(OR(Table1910[[#This Row],[Total Challenges]]&gt;0,Table1910[[#This Row],[Total Ex-C Clubs]]&gt;0,Table1910[[#This Row],[Total Intra-School Sports]]&gt;0,Table1910[[#This Row],[Total Inter-School Sports]]&gt;0,Table1910[[#This Row],[Community Clubs]]&gt;0),1,0)</f>
        <v>0</v>
      </c>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21"/>
    </row>
    <row r="141" spans="1:218" x14ac:dyDescent="0.25">
      <c r="A141" s="17"/>
      <c r="B141" s="17"/>
      <c r="C141" s="17"/>
      <c r="D141" s="17"/>
      <c r="E141" s="17"/>
      <c r="F141" s="17"/>
      <c r="G141" s="17"/>
      <c r="H141" s="17"/>
      <c r="I141" s="17"/>
      <c r="J141" s="17"/>
      <c r="K141" s="17">
        <f>SUM(Table1910[[#This Row],[Challenge 1]:[Challenge 50]])</f>
        <v>0</v>
      </c>
      <c r="L141" s="88">
        <f>SUM(Table1910[[#This Row],[Club 1]:[Club 50]])</f>
        <v>0</v>
      </c>
      <c r="M141" s="90">
        <f>SUM(Table1910[[#This Row],[Intra-school sports 1]:[Intra-school sports 50]])</f>
        <v>0</v>
      </c>
      <c r="N141" s="88">
        <f>SUM(Table1910[[#This Row],[Inter School sports 1]:[Inter School sports 50]])</f>
        <v>0</v>
      </c>
      <c r="O141" s="17">
        <f>COUNTIF(Table1910[[#This Row],[Community club (type name of club(s). All clubs will count as ''1'']],"*")</f>
        <v>0</v>
      </c>
      <c r="P141" s="17">
        <f>IF(OR(Table1910[[#This Row],[Total Challenges]]&gt;0,Table1910[[#This Row],[Total Ex-C Clubs]]&gt;0,Table1910[[#This Row],[Total Intra-School Sports]]&gt;0,Table1910[[#This Row],[Total Inter-School Sports]]&gt;0,Table1910[[#This Row],[Community Clubs]]&gt;0),1,0)</f>
        <v>0</v>
      </c>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21"/>
    </row>
    <row r="142" spans="1:218" x14ac:dyDescent="0.25">
      <c r="A142" s="17"/>
      <c r="B142" s="17"/>
      <c r="C142" s="17"/>
      <c r="D142" s="17"/>
      <c r="E142" s="17"/>
      <c r="F142" s="17"/>
      <c r="G142" s="17"/>
      <c r="H142" s="17"/>
      <c r="I142" s="17"/>
      <c r="J142" s="17"/>
      <c r="K142" s="17">
        <f>SUM(Table1910[[#This Row],[Challenge 1]:[Challenge 50]])</f>
        <v>0</v>
      </c>
      <c r="L142" s="88">
        <f>SUM(Table1910[[#This Row],[Club 1]:[Club 50]])</f>
        <v>0</v>
      </c>
      <c r="M142" s="90">
        <f>SUM(Table1910[[#This Row],[Intra-school sports 1]:[Intra-school sports 50]])</f>
        <v>0</v>
      </c>
      <c r="N142" s="88">
        <f>SUM(Table1910[[#This Row],[Inter School sports 1]:[Inter School sports 50]])</f>
        <v>0</v>
      </c>
      <c r="O142" s="17">
        <f>COUNTIF(Table1910[[#This Row],[Community club (type name of club(s). All clubs will count as ''1'']],"*")</f>
        <v>0</v>
      </c>
      <c r="P142" s="17">
        <f>IF(OR(Table1910[[#This Row],[Total Challenges]]&gt;0,Table1910[[#This Row],[Total Ex-C Clubs]]&gt;0,Table1910[[#This Row],[Total Intra-School Sports]]&gt;0,Table1910[[#This Row],[Total Inter-School Sports]]&gt;0,Table1910[[#This Row],[Community Clubs]]&gt;0),1,0)</f>
        <v>0</v>
      </c>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21"/>
    </row>
    <row r="143" spans="1:218" x14ac:dyDescent="0.25">
      <c r="A143" s="17"/>
      <c r="B143" s="17"/>
      <c r="C143" s="17"/>
      <c r="D143" s="17"/>
      <c r="E143" s="17"/>
      <c r="F143" s="17"/>
      <c r="G143" s="17"/>
      <c r="H143" s="17"/>
      <c r="I143" s="17"/>
      <c r="J143" s="17"/>
      <c r="K143" s="17">
        <f>SUM(Table1910[[#This Row],[Challenge 1]:[Challenge 50]])</f>
        <v>0</v>
      </c>
      <c r="L143" s="88">
        <f>SUM(Table1910[[#This Row],[Club 1]:[Club 50]])</f>
        <v>0</v>
      </c>
      <c r="M143" s="90">
        <f>SUM(Table1910[[#This Row],[Intra-school sports 1]:[Intra-school sports 50]])</f>
        <v>0</v>
      </c>
      <c r="N143" s="88">
        <f>SUM(Table1910[[#This Row],[Inter School sports 1]:[Inter School sports 50]])</f>
        <v>0</v>
      </c>
      <c r="O143" s="17">
        <f>COUNTIF(Table1910[[#This Row],[Community club (type name of club(s). All clubs will count as ''1'']],"*")</f>
        <v>0</v>
      </c>
      <c r="P143" s="17">
        <f>IF(OR(Table1910[[#This Row],[Total Challenges]]&gt;0,Table1910[[#This Row],[Total Ex-C Clubs]]&gt;0,Table1910[[#This Row],[Total Intra-School Sports]]&gt;0,Table1910[[#This Row],[Total Inter-School Sports]]&gt;0,Table1910[[#This Row],[Community Clubs]]&gt;0),1,0)</f>
        <v>0</v>
      </c>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21"/>
    </row>
    <row r="144" spans="1:218" x14ac:dyDescent="0.25">
      <c r="A144" s="17"/>
      <c r="B144" s="17"/>
      <c r="C144" s="17"/>
      <c r="D144" s="17"/>
      <c r="E144" s="17"/>
      <c r="F144" s="17"/>
      <c r="G144" s="17"/>
      <c r="H144" s="17"/>
      <c r="I144" s="17"/>
      <c r="J144" s="17"/>
      <c r="K144" s="17">
        <f>SUM(Table1910[[#This Row],[Challenge 1]:[Challenge 50]])</f>
        <v>0</v>
      </c>
      <c r="L144" s="88">
        <f>SUM(Table1910[[#This Row],[Club 1]:[Club 50]])</f>
        <v>0</v>
      </c>
      <c r="M144" s="90">
        <f>SUM(Table1910[[#This Row],[Intra-school sports 1]:[Intra-school sports 50]])</f>
        <v>0</v>
      </c>
      <c r="N144" s="88">
        <f>SUM(Table1910[[#This Row],[Inter School sports 1]:[Inter School sports 50]])</f>
        <v>0</v>
      </c>
      <c r="O144" s="17">
        <f>COUNTIF(Table1910[[#This Row],[Community club (type name of club(s). All clubs will count as ''1'']],"*")</f>
        <v>0</v>
      </c>
      <c r="P144" s="17">
        <f>IF(OR(Table1910[[#This Row],[Total Challenges]]&gt;0,Table1910[[#This Row],[Total Ex-C Clubs]]&gt;0,Table1910[[#This Row],[Total Intra-School Sports]]&gt;0,Table1910[[#This Row],[Total Inter-School Sports]]&gt;0,Table1910[[#This Row],[Community Clubs]]&gt;0),1,0)</f>
        <v>0</v>
      </c>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21"/>
    </row>
    <row r="145" spans="1:218" x14ac:dyDescent="0.25">
      <c r="A145" s="17"/>
      <c r="B145" s="17"/>
      <c r="C145" s="17"/>
      <c r="D145" s="17"/>
      <c r="E145" s="17"/>
      <c r="F145" s="17"/>
      <c r="G145" s="17"/>
      <c r="H145" s="17"/>
      <c r="I145" s="17"/>
      <c r="J145" s="17"/>
      <c r="K145" s="17">
        <f>SUM(Table1910[[#This Row],[Challenge 1]:[Challenge 50]])</f>
        <v>0</v>
      </c>
      <c r="L145" s="88">
        <f>SUM(Table1910[[#This Row],[Club 1]:[Club 50]])</f>
        <v>0</v>
      </c>
      <c r="M145" s="90">
        <f>SUM(Table1910[[#This Row],[Intra-school sports 1]:[Intra-school sports 50]])</f>
        <v>0</v>
      </c>
      <c r="N145" s="88">
        <f>SUM(Table1910[[#This Row],[Inter School sports 1]:[Inter School sports 50]])</f>
        <v>0</v>
      </c>
      <c r="O145" s="17">
        <f>COUNTIF(Table1910[[#This Row],[Community club (type name of club(s). All clubs will count as ''1'']],"*")</f>
        <v>0</v>
      </c>
      <c r="P145" s="17">
        <f>IF(OR(Table1910[[#This Row],[Total Challenges]]&gt;0,Table1910[[#This Row],[Total Ex-C Clubs]]&gt;0,Table1910[[#This Row],[Total Intra-School Sports]]&gt;0,Table1910[[#This Row],[Total Inter-School Sports]]&gt;0,Table1910[[#This Row],[Community Clubs]]&gt;0),1,0)</f>
        <v>0</v>
      </c>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21"/>
    </row>
    <row r="146" spans="1:218" x14ac:dyDescent="0.25">
      <c r="A146" s="17"/>
      <c r="B146" s="17"/>
      <c r="C146" s="17"/>
      <c r="D146" s="17"/>
      <c r="E146" s="17"/>
      <c r="F146" s="17"/>
      <c r="G146" s="17"/>
      <c r="H146" s="17"/>
      <c r="I146" s="17"/>
      <c r="J146" s="17"/>
      <c r="K146" s="17">
        <f>SUM(Table1910[[#This Row],[Challenge 1]:[Challenge 50]])</f>
        <v>0</v>
      </c>
      <c r="L146" s="88">
        <f>SUM(Table1910[[#This Row],[Club 1]:[Club 50]])</f>
        <v>0</v>
      </c>
      <c r="M146" s="90">
        <f>SUM(Table1910[[#This Row],[Intra-school sports 1]:[Intra-school sports 50]])</f>
        <v>0</v>
      </c>
      <c r="N146" s="88">
        <f>SUM(Table1910[[#This Row],[Inter School sports 1]:[Inter School sports 50]])</f>
        <v>0</v>
      </c>
      <c r="O146" s="17">
        <f>COUNTIF(Table1910[[#This Row],[Community club (type name of club(s). All clubs will count as ''1'']],"*")</f>
        <v>0</v>
      </c>
      <c r="P146" s="17">
        <f>IF(OR(Table1910[[#This Row],[Total Challenges]]&gt;0,Table1910[[#This Row],[Total Ex-C Clubs]]&gt;0,Table1910[[#This Row],[Total Intra-School Sports]]&gt;0,Table1910[[#This Row],[Total Inter-School Sports]]&gt;0,Table1910[[#This Row],[Community Clubs]]&gt;0),1,0)</f>
        <v>0</v>
      </c>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21"/>
    </row>
    <row r="147" spans="1:218" x14ac:dyDescent="0.25">
      <c r="A147" s="17"/>
      <c r="B147" s="17"/>
      <c r="C147" s="17"/>
      <c r="D147" s="17"/>
      <c r="E147" s="17"/>
      <c r="F147" s="17"/>
      <c r="G147" s="17"/>
      <c r="H147" s="17"/>
      <c r="I147" s="17"/>
      <c r="J147" s="17"/>
      <c r="K147" s="17">
        <f>SUM(Table1910[[#This Row],[Challenge 1]:[Challenge 50]])</f>
        <v>0</v>
      </c>
      <c r="L147" s="88">
        <f>SUM(Table1910[[#This Row],[Club 1]:[Club 50]])</f>
        <v>0</v>
      </c>
      <c r="M147" s="90">
        <f>SUM(Table1910[[#This Row],[Intra-school sports 1]:[Intra-school sports 50]])</f>
        <v>0</v>
      </c>
      <c r="N147" s="88">
        <f>SUM(Table1910[[#This Row],[Inter School sports 1]:[Inter School sports 50]])</f>
        <v>0</v>
      </c>
      <c r="O147" s="17">
        <f>COUNTIF(Table1910[[#This Row],[Community club (type name of club(s). All clubs will count as ''1'']],"*")</f>
        <v>0</v>
      </c>
      <c r="P147" s="17">
        <f>IF(OR(Table1910[[#This Row],[Total Challenges]]&gt;0,Table1910[[#This Row],[Total Ex-C Clubs]]&gt;0,Table1910[[#This Row],[Total Intra-School Sports]]&gt;0,Table1910[[#This Row],[Total Inter-School Sports]]&gt;0,Table1910[[#This Row],[Community Clubs]]&gt;0),1,0)</f>
        <v>0</v>
      </c>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21"/>
    </row>
    <row r="148" spans="1:218" x14ac:dyDescent="0.25">
      <c r="A148" s="17"/>
      <c r="B148" s="17"/>
      <c r="C148" s="17"/>
      <c r="D148" s="17"/>
      <c r="E148" s="17"/>
      <c r="F148" s="17"/>
      <c r="G148" s="17"/>
      <c r="H148" s="17"/>
      <c r="I148" s="17"/>
      <c r="J148" s="17"/>
      <c r="K148" s="17">
        <f>SUM(Table1910[[#This Row],[Challenge 1]:[Challenge 50]])</f>
        <v>0</v>
      </c>
      <c r="L148" s="88">
        <f>SUM(Table1910[[#This Row],[Club 1]:[Club 50]])</f>
        <v>0</v>
      </c>
      <c r="M148" s="90">
        <f>SUM(Table1910[[#This Row],[Intra-school sports 1]:[Intra-school sports 50]])</f>
        <v>0</v>
      </c>
      <c r="N148" s="88">
        <f>SUM(Table1910[[#This Row],[Inter School sports 1]:[Inter School sports 50]])</f>
        <v>0</v>
      </c>
      <c r="O148" s="17">
        <f>COUNTIF(Table1910[[#This Row],[Community club (type name of club(s). All clubs will count as ''1'']],"*")</f>
        <v>0</v>
      </c>
      <c r="P148" s="17">
        <f>IF(OR(Table1910[[#This Row],[Total Challenges]]&gt;0,Table1910[[#This Row],[Total Ex-C Clubs]]&gt;0,Table1910[[#This Row],[Total Intra-School Sports]]&gt;0,Table1910[[#This Row],[Total Inter-School Sports]]&gt;0,Table1910[[#This Row],[Community Clubs]]&gt;0),1,0)</f>
        <v>0</v>
      </c>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21"/>
    </row>
    <row r="149" spans="1:218" x14ac:dyDescent="0.25">
      <c r="A149" s="17"/>
      <c r="B149" s="17"/>
      <c r="C149" s="17"/>
      <c r="D149" s="17"/>
      <c r="E149" s="17"/>
      <c r="F149" s="17"/>
      <c r="G149" s="17"/>
      <c r="H149" s="17"/>
      <c r="I149" s="17"/>
      <c r="J149" s="17"/>
      <c r="K149" s="17">
        <f>SUM(Table1910[[#This Row],[Challenge 1]:[Challenge 50]])</f>
        <v>0</v>
      </c>
      <c r="L149" s="88">
        <f>SUM(Table1910[[#This Row],[Club 1]:[Club 50]])</f>
        <v>0</v>
      </c>
      <c r="M149" s="90">
        <f>SUM(Table1910[[#This Row],[Intra-school sports 1]:[Intra-school sports 50]])</f>
        <v>0</v>
      </c>
      <c r="N149" s="88">
        <f>SUM(Table1910[[#This Row],[Inter School sports 1]:[Inter School sports 50]])</f>
        <v>0</v>
      </c>
      <c r="O149" s="17">
        <f>COUNTIF(Table1910[[#This Row],[Community club (type name of club(s). All clubs will count as ''1'']],"*")</f>
        <v>0</v>
      </c>
      <c r="P149" s="17">
        <f>IF(OR(Table1910[[#This Row],[Total Challenges]]&gt;0,Table1910[[#This Row],[Total Ex-C Clubs]]&gt;0,Table1910[[#This Row],[Total Intra-School Sports]]&gt;0,Table1910[[#This Row],[Total Inter-School Sports]]&gt;0,Table1910[[#This Row],[Community Clubs]]&gt;0),1,0)</f>
        <v>0</v>
      </c>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21"/>
    </row>
    <row r="150" spans="1:218" x14ac:dyDescent="0.25">
      <c r="A150" s="17"/>
      <c r="B150" s="17"/>
      <c r="C150" s="17"/>
      <c r="D150" s="17"/>
      <c r="E150" s="17"/>
      <c r="F150" s="17"/>
      <c r="G150" s="17"/>
      <c r="H150" s="17"/>
      <c r="I150" s="17"/>
      <c r="J150" s="17"/>
      <c r="K150" s="17">
        <f>SUM(Table1910[[#This Row],[Challenge 1]:[Challenge 50]])</f>
        <v>0</v>
      </c>
      <c r="L150" s="88">
        <f>SUM(Table1910[[#This Row],[Club 1]:[Club 50]])</f>
        <v>0</v>
      </c>
      <c r="M150" s="90">
        <f>SUM(Table1910[[#This Row],[Intra-school sports 1]:[Intra-school sports 50]])</f>
        <v>0</v>
      </c>
      <c r="N150" s="88">
        <f>SUM(Table1910[[#This Row],[Inter School sports 1]:[Inter School sports 50]])</f>
        <v>0</v>
      </c>
      <c r="O150" s="17">
        <f>COUNTIF(Table1910[[#This Row],[Community club (type name of club(s). All clubs will count as ''1'']],"*")</f>
        <v>0</v>
      </c>
      <c r="P150" s="17">
        <f>IF(OR(Table1910[[#This Row],[Total Challenges]]&gt;0,Table1910[[#This Row],[Total Ex-C Clubs]]&gt;0,Table1910[[#This Row],[Total Intra-School Sports]]&gt;0,Table1910[[#This Row],[Total Inter-School Sports]]&gt;0,Table1910[[#This Row],[Community Clubs]]&gt;0),1,0)</f>
        <v>0</v>
      </c>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21"/>
    </row>
    <row r="151" spans="1:218" x14ac:dyDescent="0.25">
      <c r="A151" s="17"/>
      <c r="B151" s="17"/>
      <c r="C151" s="17"/>
      <c r="D151" s="17"/>
      <c r="E151" s="17"/>
      <c r="F151" s="17"/>
      <c r="G151" s="17"/>
      <c r="H151" s="17"/>
      <c r="I151" s="17"/>
      <c r="J151" s="17"/>
      <c r="K151" s="17">
        <f>SUM(Table1910[[#This Row],[Challenge 1]:[Challenge 50]])</f>
        <v>0</v>
      </c>
      <c r="L151" s="88">
        <f>SUM(Table1910[[#This Row],[Club 1]:[Club 50]])</f>
        <v>0</v>
      </c>
      <c r="M151" s="90">
        <f>SUM(Table1910[[#This Row],[Intra-school sports 1]:[Intra-school sports 50]])</f>
        <v>0</v>
      </c>
      <c r="N151" s="88">
        <f>SUM(Table1910[[#This Row],[Inter School sports 1]:[Inter School sports 50]])</f>
        <v>0</v>
      </c>
      <c r="O151" s="17">
        <f>COUNTIF(Table1910[[#This Row],[Community club (type name of club(s). All clubs will count as ''1'']],"*")</f>
        <v>0</v>
      </c>
      <c r="P151" s="17">
        <f>IF(OR(Table1910[[#This Row],[Total Challenges]]&gt;0,Table1910[[#This Row],[Total Ex-C Clubs]]&gt;0,Table1910[[#This Row],[Total Intra-School Sports]]&gt;0,Table1910[[#This Row],[Total Inter-School Sports]]&gt;0,Table1910[[#This Row],[Community Clubs]]&gt;0),1,0)</f>
        <v>0</v>
      </c>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21"/>
    </row>
    <row r="152" spans="1:218" x14ac:dyDescent="0.25">
      <c r="A152" s="17"/>
      <c r="B152" s="17"/>
      <c r="C152" s="17"/>
      <c r="D152" s="17"/>
      <c r="E152" s="17"/>
      <c r="F152" s="17"/>
      <c r="G152" s="17"/>
      <c r="H152" s="17"/>
      <c r="I152" s="17"/>
      <c r="J152" s="17"/>
      <c r="K152" s="17">
        <f>SUM(Table1910[[#This Row],[Challenge 1]:[Challenge 50]])</f>
        <v>0</v>
      </c>
      <c r="L152" s="88">
        <f>SUM(Table1910[[#This Row],[Club 1]:[Club 50]])</f>
        <v>0</v>
      </c>
      <c r="M152" s="90">
        <f>SUM(Table1910[[#This Row],[Intra-school sports 1]:[Intra-school sports 50]])</f>
        <v>0</v>
      </c>
      <c r="N152" s="88">
        <f>SUM(Table1910[[#This Row],[Inter School sports 1]:[Inter School sports 50]])</f>
        <v>0</v>
      </c>
      <c r="O152" s="17">
        <f>COUNTIF(Table1910[[#This Row],[Community club (type name of club(s). All clubs will count as ''1'']],"*")</f>
        <v>0</v>
      </c>
      <c r="P152" s="17">
        <f>IF(OR(Table1910[[#This Row],[Total Challenges]]&gt;0,Table1910[[#This Row],[Total Ex-C Clubs]]&gt;0,Table1910[[#This Row],[Total Intra-School Sports]]&gt;0,Table1910[[#This Row],[Total Inter-School Sports]]&gt;0,Table1910[[#This Row],[Community Clubs]]&gt;0),1,0)</f>
        <v>0</v>
      </c>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21"/>
    </row>
    <row r="153" spans="1:218" x14ac:dyDescent="0.25">
      <c r="A153" s="17"/>
      <c r="B153" s="17"/>
      <c r="C153" s="17"/>
      <c r="D153" s="17"/>
      <c r="E153" s="17"/>
      <c r="F153" s="17"/>
      <c r="G153" s="17"/>
      <c r="H153" s="17"/>
      <c r="I153" s="17"/>
      <c r="J153" s="17"/>
      <c r="K153" s="17">
        <f>SUM(Table1910[[#This Row],[Challenge 1]:[Challenge 50]])</f>
        <v>0</v>
      </c>
      <c r="L153" s="88">
        <f>SUM(Table1910[[#This Row],[Club 1]:[Club 50]])</f>
        <v>0</v>
      </c>
      <c r="M153" s="90">
        <f>SUM(Table1910[[#This Row],[Intra-school sports 1]:[Intra-school sports 50]])</f>
        <v>0</v>
      </c>
      <c r="N153" s="88">
        <f>SUM(Table1910[[#This Row],[Inter School sports 1]:[Inter School sports 50]])</f>
        <v>0</v>
      </c>
      <c r="O153" s="17">
        <f>COUNTIF(Table1910[[#This Row],[Community club (type name of club(s). All clubs will count as ''1'']],"*")</f>
        <v>0</v>
      </c>
      <c r="P153" s="17">
        <f>IF(OR(Table1910[[#This Row],[Total Challenges]]&gt;0,Table1910[[#This Row],[Total Ex-C Clubs]]&gt;0,Table1910[[#This Row],[Total Intra-School Sports]]&gt;0,Table1910[[#This Row],[Total Inter-School Sports]]&gt;0,Table1910[[#This Row],[Community Clubs]]&gt;0),1,0)</f>
        <v>0</v>
      </c>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21"/>
    </row>
    <row r="154" spans="1:218" x14ac:dyDescent="0.25">
      <c r="A154" s="17"/>
      <c r="B154" s="17"/>
      <c r="C154" s="17"/>
      <c r="D154" s="17"/>
      <c r="E154" s="17"/>
      <c r="F154" s="17"/>
      <c r="G154" s="17"/>
      <c r="H154" s="17"/>
      <c r="I154" s="17"/>
      <c r="J154" s="17"/>
      <c r="K154" s="17">
        <f>SUM(Table1910[[#This Row],[Challenge 1]:[Challenge 50]])</f>
        <v>0</v>
      </c>
      <c r="L154" s="88">
        <f>SUM(Table1910[[#This Row],[Club 1]:[Club 50]])</f>
        <v>0</v>
      </c>
      <c r="M154" s="90">
        <f>SUM(Table1910[[#This Row],[Intra-school sports 1]:[Intra-school sports 50]])</f>
        <v>0</v>
      </c>
      <c r="N154" s="88">
        <f>SUM(Table1910[[#This Row],[Inter School sports 1]:[Inter School sports 50]])</f>
        <v>0</v>
      </c>
      <c r="O154" s="17">
        <f>COUNTIF(Table1910[[#This Row],[Community club (type name of club(s). All clubs will count as ''1'']],"*")</f>
        <v>0</v>
      </c>
      <c r="P154" s="17">
        <f>IF(OR(Table1910[[#This Row],[Total Challenges]]&gt;0,Table1910[[#This Row],[Total Ex-C Clubs]]&gt;0,Table1910[[#This Row],[Total Intra-School Sports]]&gt;0,Table1910[[#This Row],[Total Inter-School Sports]]&gt;0,Table1910[[#This Row],[Community Clubs]]&gt;0),1,0)</f>
        <v>0</v>
      </c>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21"/>
    </row>
    <row r="155" spans="1:218" x14ac:dyDescent="0.25">
      <c r="A155" s="17"/>
      <c r="B155" s="17"/>
      <c r="C155" s="17"/>
      <c r="D155" s="17"/>
      <c r="E155" s="17"/>
      <c r="F155" s="17"/>
      <c r="G155" s="17"/>
      <c r="H155" s="17"/>
      <c r="I155" s="17"/>
      <c r="J155" s="17"/>
      <c r="K155" s="17">
        <f>SUM(Table1910[[#This Row],[Challenge 1]:[Challenge 50]])</f>
        <v>0</v>
      </c>
      <c r="L155" s="88">
        <f>SUM(Table1910[[#This Row],[Club 1]:[Club 50]])</f>
        <v>0</v>
      </c>
      <c r="M155" s="90">
        <f>SUM(Table1910[[#This Row],[Intra-school sports 1]:[Intra-school sports 50]])</f>
        <v>0</v>
      </c>
      <c r="N155" s="88">
        <f>SUM(Table1910[[#This Row],[Inter School sports 1]:[Inter School sports 50]])</f>
        <v>0</v>
      </c>
      <c r="O155" s="17">
        <f>COUNTIF(Table1910[[#This Row],[Community club (type name of club(s). All clubs will count as ''1'']],"*")</f>
        <v>0</v>
      </c>
      <c r="P155" s="17">
        <f>IF(OR(Table1910[[#This Row],[Total Challenges]]&gt;0,Table1910[[#This Row],[Total Ex-C Clubs]]&gt;0,Table1910[[#This Row],[Total Intra-School Sports]]&gt;0,Table1910[[#This Row],[Total Inter-School Sports]]&gt;0,Table1910[[#This Row],[Community Clubs]]&gt;0),1,0)</f>
        <v>0</v>
      </c>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21"/>
    </row>
    <row r="156" spans="1:218" x14ac:dyDescent="0.25">
      <c r="A156" s="17"/>
      <c r="B156" s="17"/>
      <c r="C156" s="17"/>
      <c r="D156" s="17"/>
      <c r="E156" s="17"/>
      <c r="F156" s="17"/>
      <c r="G156" s="17"/>
      <c r="H156" s="17"/>
      <c r="I156" s="17"/>
      <c r="J156" s="17"/>
      <c r="K156" s="17">
        <f>SUM(Table1910[[#This Row],[Challenge 1]:[Challenge 50]])</f>
        <v>0</v>
      </c>
      <c r="L156" s="88">
        <f>SUM(Table1910[[#This Row],[Club 1]:[Club 50]])</f>
        <v>0</v>
      </c>
      <c r="M156" s="90">
        <f>SUM(Table1910[[#This Row],[Intra-school sports 1]:[Intra-school sports 50]])</f>
        <v>0</v>
      </c>
      <c r="N156" s="88">
        <f>SUM(Table1910[[#This Row],[Inter School sports 1]:[Inter School sports 50]])</f>
        <v>0</v>
      </c>
      <c r="O156" s="17">
        <f>COUNTIF(Table1910[[#This Row],[Community club (type name of club(s). All clubs will count as ''1'']],"*")</f>
        <v>0</v>
      </c>
      <c r="P156" s="17">
        <f>IF(OR(Table1910[[#This Row],[Total Challenges]]&gt;0,Table1910[[#This Row],[Total Ex-C Clubs]]&gt;0,Table1910[[#This Row],[Total Intra-School Sports]]&gt;0,Table1910[[#This Row],[Total Inter-School Sports]]&gt;0,Table1910[[#This Row],[Community Clubs]]&gt;0),1,0)</f>
        <v>0</v>
      </c>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21"/>
    </row>
    <row r="157" spans="1:218" x14ac:dyDescent="0.25">
      <c r="A157" s="17"/>
      <c r="B157" s="17"/>
      <c r="C157" s="17"/>
      <c r="D157" s="17"/>
      <c r="E157" s="17"/>
      <c r="F157" s="17"/>
      <c r="G157" s="17"/>
      <c r="H157" s="17"/>
      <c r="I157" s="17"/>
      <c r="J157" s="17"/>
      <c r="K157" s="17">
        <f>SUM(Table1910[[#This Row],[Challenge 1]:[Challenge 50]])</f>
        <v>0</v>
      </c>
      <c r="L157" s="88">
        <f>SUM(Table1910[[#This Row],[Club 1]:[Club 50]])</f>
        <v>0</v>
      </c>
      <c r="M157" s="90">
        <f>SUM(Table1910[[#This Row],[Intra-school sports 1]:[Intra-school sports 50]])</f>
        <v>0</v>
      </c>
      <c r="N157" s="88">
        <f>SUM(Table1910[[#This Row],[Inter School sports 1]:[Inter School sports 50]])</f>
        <v>0</v>
      </c>
      <c r="O157" s="17">
        <f>COUNTIF(Table1910[[#This Row],[Community club (type name of club(s). All clubs will count as ''1'']],"*")</f>
        <v>0</v>
      </c>
      <c r="P157" s="17">
        <f>IF(OR(Table1910[[#This Row],[Total Challenges]]&gt;0,Table1910[[#This Row],[Total Ex-C Clubs]]&gt;0,Table1910[[#This Row],[Total Intra-School Sports]]&gt;0,Table1910[[#This Row],[Total Inter-School Sports]]&gt;0,Table1910[[#This Row],[Community Clubs]]&gt;0),1,0)</f>
        <v>0</v>
      </c>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21"/>
    </row>
    <row r="158" spans="1:218" x14ac:dyDescent="0.25">
      <c r="A158" s="17"/>
      <c r="B158" s="17"/>
      <c r="C158" s="17"/>
      <c r="D158" s="17"/>
      <c r="E158" s="17"/>
      <c r="F158" s="17"/>
      <c r="G158" s="17"/>
      <c r="H158" s="17"/>
      <c r="I158" s="17"/>
      <c r="J158" s="17"/>
      <c r="K158" s="17">
        <f>SUM(Table1910[[#This Row],[Challenge 1]:[Challenge 50]])</f>
        <v>0</v>
      </c>
      <c r="L158" s="88">
        <f>SUM(Table1910[[#This Row],[Club 1]:[Club 50]])</f>
        <v>0</v>
      </c>
      <c r="M158" s="90">
        <f>SUM(Table1910[[#This Row],[Intra-school sports 1]:[Intra-school sports 50]])</f>
        <v>0</v>
      </c>
      <c r="N158" s="88">
        <f>SUM(Table1910[[#This Row],[Inter School sports 1]:[Inter School sports 50]])</f>
        <v>0</v>
      </c>
      <c r="O158" s="17">
        <f>COUNTIF(Table1910[[#This Row],[Community club (type name of club(s). All clubs will count as ''1'']],"*")</f>
        <v>0</v>
      </c>
      <c r="P158" s="17">
        <f>IF(OR(Table1910[[#This Row],[Total Challenges]]&gt;0,Table1910[[#This Row],[Total Ex-C Clubs]]&gt;0,Table1910[[#This Row],[Total Intra-School Sports]]&gt;0,Table1910[[#This Row],[Total Inter-School Sports]]&gt;0,Table1910[[#This Row],[Community Clubs]]&gt;0),1,0)</f>
        <v>0</v>
      </c>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21"/>
    </row>
    <row r="159" spans="1:218" x14ac:dyDescent="0.25">
      <c r="A159" s="17"/>
      <c r="B159" s="17"/>
      <c r="C159" s="17"/>
      <c r="D159" s="17"/>
      <c r="E159" s="17"/>
      <c r="F159" s="17"/>
      <c r="G159" s="17"/>
      <c r="H159" s="17"/>
      <c r="I159" s="17"/>
      <c r="J159" s="17"/>
      <c r="K159" s="17">
        <f>SUM(Table1910[[#This Row],[Challenge 1]:[Challenge 50]])</f>
        <v>0</v>
      </c>
      <c r="L159" s="88">
        <f>SUM(Table1910[[#This Row],[Club 1]:[Club 50]])</f>
        <v>0</v>
      </c>
      <c r="M159" s="90">
        <f>SUM(Table1910[[#This Row],[Intra-school sports 1]:[Intra-school sports 50]])</f>
        <v>0</v>
      </c>
      <c r="N159" s="88">
        <f>SUM(Table1910[[#This Row],[Inter School sports 1]:[Inter School sports 50]])</f>
        <v>0</v>
      </c>
      <c r="O159" s="17">
        <f>COUNTIF(Table1910[[#This Row],[Community club (type name of club(s). All clubs will count as ''1'']],"*")</f>
        <v>0</v>
      </c>
      <c r="P159" s="17">
        <f>IF(OR(Table1910[[#This Row],[Total Challenges]]&gt;0,Table1910[[#This Row],[Total Ex-C Clubs]]&gt;0,Table1910[[#This Row],[Total Intra-School Sports]]&gt;0,Table1910[[#This Row],[Total Inter-School Sports]]&gt;0,Table1910[[#This Row],[Community Clubs]]&gt;0),1,0)</f>
        <v>0</v>
      </c>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21"/>
    </row>
    <row r="160" spans="1:218" x14ac:dyDescent="0.25">
      <c r="A160" s="17"/>
      <c r="B160" s="17"/>
      <c r="C160" s="17"/>
      <c r="D160" s="17"/>
      <c r="E160" s="17"/>
      <c r="F160" s="17"/>
      <c r="G160" s="17"/>
      <c r="H160" s="17"/>
      <c r="I160" s="17"/>
      <c r="J160" s="17"/>
      <c r="K160" s="17">
        <f>SUM(Table1910[[#This Row],[Challenge 1]:[Challenge 50]])</f>
        <v>0</v>
      </c>
      <c r="L160" s="88">
        <f>SUM(Table1910[[#This Row],[Club 1]:[Club 50]])</f>
        <v>0</v>
      </c>
      <c r="M160" s="90">
        <f>SUM(Table1910[[#This Row],[Intra-school sports 1]:[Intra-school sports 50]])</f>
        <v>0</v>
      </c>
      <c r="N160" s="88">
        <f>SUM(Table1910[[#This Row],[Inter School sports 1]:[Inter School sports 50]])</f>
        <v>0</v>
      </c>
      <c r="O160" s="17">
        <f>COUNTIF(Table1910[[#This Row],[Community club (type name of club(s). All clubs will count as ''1'']],"*")</f>
        <v>0</v>
      </c>
      <c r="P160" s="17">
        <f>IF(OR(Table1910[[#This Row],[Total Challenges]]&gt;0,Table1910[[#This Row],[Total Ex-C Clubs]]&gt;0,Table1910[[#This Row],[Total Intra-School Sports]]&gt;0,Table1910[[#This Row],[Total Inter-School Sports]]&gt;0,Table1910[[#This Row],[Community Clubs]]&gt;0),1,0)</f>
        <v>0</v>
      </c>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21"/>
    </row>
    <row r="161" spans="1:218" x14ac:dyDescent="0.25">
      <c r="A161" s="17"/>
      <c r="B161" s="17"/>
      <c r="C161" s="17"/>
      <c r="D161" s="17"/>
      <c r="E161" s="17"/>
      <c r="F161" s="17"/>
      <c r="G161" s="17"/>
      <c r="H161" s="17"/>
      <c r="I161" s="17"/>
      <c r="J161" s="17"/>
      <c r="K161" s="17">
        <f>SUM(Table1910[[#This Row],[Challenge 1]:[Challenge 50]])</f>
        <v>0</v>
      </c>
      <c r="L161" s="88">
        <f>SUM(Table1910[[#This Row],[Club 1]:[Club 50]])</f>
        <v>0</v>
      </c>
      <c r="M161" s="90">
        <f>SUM(Table1910[[#This Row],[Intra-school sports 1]:[Intra-school sports 50]])</f>
        <v>0</v>
      </c>
      <c r="N161" s="88">
        <f>SUM(Table1910[[#This Row],[Inter School sports 1]:[Inter School sports 50]])</f>
        <v>0</v>
      </c>
      <c r="O161" s="17">
        <f>COUNTIF(Table1910[[#This Row],[Community club (type name of club(s). All clubs will count as ''1'']],"*")</f>
        <v>0</v>
      </c>
      <c r="P161" s="17">
        <f>IF(OR(Table1910[[#This Row],[Total Challenges]]&gt;0,Table1910[[#This Row],[Total Ex-C Clubs]]&gt;0,Table1910[[#This Row],[Total Intra-School Sports]]&gt;0,Table1910[[#This Row],[Total Inter-School Sports]]&gt;0,Table1910[[#This Row],[Community Clubs]]&gt;0),1,0)</f>
        <v>0</v>
      </c>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21"/>
    </row>
    <row r="162" spans="1:218" x14ac:dyDescent="0.25">
      <c r="A162" s="17"/>
      <c r="B162" s="17"/>
      <c r="C162" s="17"/>
      <c r="D162" s="17"/>
      <c r="E162" s="17"/>
      <c r="F162" s="17"/>
      <c r="G162" s="17"/>
      <c r="H162" s="17"/>
      <c r="I162" s="17"/>
      <c r="J162" s="17"/>
      <c r="K162" s="17">
        <f>SUM(Table1910[[#This Row],[Challenge 1]:[Challenge 50]])</f>
        <v>0</v>
      </c>
      <c r="L162" s="88">
        <f>SUM(Table1910[[#This Row],[Club 1]:[Club 50]])</f>
        <v>0</v>
      </c>
      <c r="M162" s="90">
        <f>SUM(Table1910[[#This Row],[Intra-school sports 1]:[Intra-school sports 50]])</f>
        <v>0</v>
      </c>
      <c r="N162" s="88">
        <f>SUM(Table1910[[#This Row],[Inter School sports 1]:[Inter School sports 50]])</f>
        <v>0</v>
      </c>
      <c r="O162" s="17">
        <f>COUNTIF(Table1910[[#This Row],[Community club (type name of club(s). All clubs will count as ''1'']],"*")</f>
        <v>0</v>
      </c>
      <c r="P162" s="17">
        <f>IF(OR(Table1910[[#This Row],[Total Challenges]]&gt;0,Table1910[[#This Row],[Total Ex-C Clubs]]&gt;0,Table1910[[#This Row],[Total Intra-School Sports]]&gt;0,Table1910[[#This Row],[Total Inter-School Sports]]&gt;0,Table1910[[#This Row],[Community Clubs]]&gt;0),1,0)</f>
        <v>0</v>
      </c>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21"/>
    </row>
    <row r="163" spans="1:218" x14ac:dyDescent="0.25">
      <c r="A163" s="17"/>
      <c r="B163" s="17"/>
      <c r="C163" s="17"/>
      <c r="D163" s="17"/>
      <c r="E163" s="17"/>
      <c r="F163" s="17"/>
      <c r="G163" s="17"/>
      <c r="H163" s="17"/>
      <c r="I163" s="17"/>
      <c r="J163" s="17"/>
      <c r="K163" s="17">
        <f>SUM(Table1910[[#This Row],[Challenge 1]:[Challenge 50]])</f>
        <v>0</v>
      </c>
      <c r="L163" s="88">
        <f>SUM(Table1910[[#This Row],[Club 1]:[Club 50]])</f>
        <v>0</v>
      </c>
      <c r="M163" s="90">
        <f>SUM(Table1910[[#This Row],[Intra-school sports 1]:[Intra-school sports 50]])</f>
        <v>0</v>
      </c>
      <c r="N163" s="88">
        <f>SUM(Table1910[[#This Row],[Inter School sports 1]:[Inter School sports 50]])</f>
        <v>0</v>
      </c>
      <c r="O163" s="17">
        <f>COUNTIF(Table1910[[#This Row],[Community club (type name of club(s). All clubs will count as ''1'']],"*")</f>
        <v>0</v>
      </c>
      <c r="P163" s="17">
        <f>IF(OR(Table1910[[#This Row],[Total Challenges]]&gt;0,Table1910[[#This Row],[Total Ex-C Clubs]]&gt;0,Table1910[[#This Row],[Total Intra-School Sports]]&gt;0,Table1910[[#This Row],[Total Inter-School Sports]]&gt;0,Table1910[[#This Row],[Community Clubs]]&gt;0),1,0)</f>
        <v>0</v>
      </c>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21"/>
    </row>
    <row r="164" spans="1:218" x14ac:dyDescent="0.25">
      <c r="A164" s="17"/>
      <c r="B164" s="17"/>
      <c r="C164" s="17"/>
      <c r="D164" s="17"/>
      <c r="E164" s="17"/>
      <c r="F164" s="17"/>
      <c r="G164" s="17"/>
      <c r="H164" s="17"/>
      <c r="I164" s="17"/>
      <c r="J164" s="17"/>
      <c r="K164" s="17">
        <f>SUM(Table1910[[#This Row],[Challenge 1]:[Challenge 50]])</f>
        <v>0</v>
      </c>
      <c r="L164" s="88">
        <f>SUM(Table1910[[#This Row],[Club 1]:[Club 50]])</f>
        <v>0</v>
      </c>
      <c r="M164" s="90">
        <f>SUM(Table1910[[#This Row],[Intra-school sports 1]:[Intra-school sports 50]])</f>
        <v>0</v>
      </c>
      <c r="N164" s="88">
        <f>SUM(Table1910[[#This Row],[Inter School sports 1]:[Inter School sports 50]])</f>
        <v>0</v>
      </c>
      <c r="O164" s="17">
        <f>COUNTIF(Table1910[[#This Row],[Community club (type name of club(s). All clubs will count as ''1'']],"*")</f>
        <v>0</v>
      </c>
      <c r="P164" s="17">
        <f>IF(OR(Table1910[[#This Row],[Total Challenges]]&gt;0,Table1910[[#This Row],[Total Ex-C Clubs]]&gt;0,Table1910[[#This Row],[Total Intra-School Sports]]&gt;0,Table1910[[#This Row],[Total Inter-School Sports]]&gt;0,Table1910[[#This Row],[Community Clubs]]&gt;0),1,0)</f>
        <v>0</v>
      </c>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21"/>
    </row>
    <row r="165" spans="1:218" x14ac:dyDescent="0.25">
      <c r="A165" s="17"/>
      <c r="B165" s="17"/>
      <c r="C165" s="17"/>
      <c r="D165" s="17"/>
      <c r="E165" s="17"/>
      <c r="F165" s="17"/>
      <c r="G165" s="17"/>
      <c r="H165" s="17"/>
      <c r="I165" s="17"/>
      <c r="J165" s="17"/>
      <c r="K165" s="17">
        <f>SUM(Table1910[[#This Row],[Challenge 1]:[Challenge 50]])</f>
        <v>0</v>
      </c>
      <c r="L165" s="88">
        <f>SUM(Table1910[[#This Row],[Club 1]:[Club 50]])</f>
        <v>0</v>
      </c>
      <c r="M165" s="90">
        <f>SUM(Table1910[[#This Row],[Intra-school sports 1]:[Intra-school sports 50]])</f>
        <v>0</v>
      </c>
      <c r="N165" s="88">
        <f>SUM(Table1910[[#This Row],[Inter School sports 1]:[Inter School sports 50]])</f>
        <v>0</v>
      </c>
      <c r="O165" s="17">
        <f>COUNTIF(Table1910[[#This Row],[Community club (type name of club(s). All clubs will count as ''1'']],"*")</f>
        <v>0</v>
      </c>
      <c r="P165" s="17">
        <f>IF(OR(Table1910[[#This Row],[Total Challenges]]&gt;0,Table1910[[#This Row],[Total Ex-C Clubs]]&gt;0,Table1910[[#This Row],[Total Intra-School Sports]]&gt;0,Table1910[[#This Row],[Total Inter-School Sports]]&gt;0,Table1910[[#This Row],[Community Clubs]]&gt;0),1,0)</f>
        <v>0</v>
      </c>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21"/>
    </row>
    <row r="166" spans="1:218" x14ac:dyDescent="0.25">
      <c r="A166" s="17"/>
      <c r="B166" s="17"/>
      <c r="C166" s="17"/>
      <c r="D166" s="17"/>
      <c r="E166" s="17"/>
      <c r="F166" s="17"/>
      <c r="G166" s="17"/>
      <c r="H166" s="17"/>
      <c r="I166" s="17"/>
      <c r="J166" s="17"/>
      <c r="K166" s="17">
        <f>SUM(Table1910[[#This Row],[Challenge 1]:[Challenge 50]])</f>
        <v>0</v>
      </c>
      <c r="L166" s="88">
        <f>SUM(Table1910[[#This Row],[Club 1]:[Club 50]])</f>
        <v>0</v>
      </c>
      <c r="M166" s="90">
        <f>SUM(Table1910[[#This Row],[Intra-school sports 1]:[Intra-school sports 50]])</f>
        <v>0</v>
      </c>
      <c r="N166" s="88">
        <f>SUM(Table1910[[#This Row],[Inter School sports 1]:[Inter School sports 50]])</f>
        <v>0</v>
      </c>
      <c r="O166" s="17">
        <f>COUNTIF(Table1910[[#This Row],[Community club (type name of club(s). All clubs will count as ''1'']],"*")</f>
        <v>0</v>
      </c>
      <c r="P166" s="17">
        <f>IF(OR(Table1910[[#This Row],[Total Challenges]]&gt;0,Table1910[[#This Row],[Total Ex-C Clubs]]&gt;0,Table1910[[#This Row],[Total Intra-School Sports]]&gt;0,Table1910[[#This Row],[Total Inter-School Sports]]&gt;0,Table1910[[#This Row],[Community Clubs]]&gt;0),1,0)</f>
        <v>0</v>
      </c>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21"/>
    </row>
    <row r="167" spans="1:218" x14ac:dyDescent="0.25">
      <c r="A167" s="17"/>
      <c r="B167" s="17"/>
      <c r="C167" s="17"/>
      <c r="D167" s="17"/>
      <c r="E167" s="17"/>
      <c r="F167" s="17"/>
      <c r="G167" s="17"/>
      <c r="H167" s="17"/>
      <c r="I167" s="17"/>
      <c r="J167" s="17"/>
      <c r="K167" s="17">
        <f>SUM(Table1910[[#This Row],[Challenge 1]:[Challenge 50]])</f>
        <v>0</v>
      </c>
      <c r="L167" s="88">
        <f>SUM(Table1910[[#This Row],[Club 1]:[Club 50]])</f>
        <v>0</v>
      </c>
      <c r="M167" s="90">
        <f>SUM(Table1910[[#This Row],[Intra-school sports 1]:[Intra-school sports 50]])</f>
        <v>0</v>
      </c>
      <c r="N167" s="88">
        <f>SUM(Table1910[[#This Row],[Inter School sports 1]:[Inter School sports 50]])</f>
        <v>0</v>
      </c>
      <c r="O167" s="17">
        <f>COUNTIF(Table1910[[#This Row],[Community club (type name of club(s). All clubs will count as ''1'']],"*")</f>
        <v>0</v>
      </c>
      <c r="P167" s="17">
        <f>IF(OR(Table1910[[#This Row],[Total Challenges]]&gt;0,Table1910[[#This Row],[Total Ex-C Clubs]]&gt;0,Table1910[[#This Row],[Total Intra-School Sports]]&gt;0,Table1910[[#This Row],[Total Inter-School Sports]]&gt;0,Table1910[[#This Row],[Community Clubs]]&gt;0),1,0)</f>
        <v>0</v>
      </c>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21"/>
    </row>
    <row r="168" spans="1:218" x14ac:dyDescent="0.25">
      <c r="A168" s="17"/>
      <c r="B168" s="17"/>
      <c r="C168" s="17"/>
      <c r="D168" s="17"/>
      <c r="E168" s="17"/>
      <c r="F168" s="17"/>
      <c r="G168" s="17"/>
      <c r="H168" s="17"/>
      <c r="I168" s="17"/>
      <c r="J168" s="17"/>
      <c r="K168" s="17">
        <f>SUM(Table1910[[#This Row],[Challenge 1]:[Challenge 50]])</f>
        <v>0</v>
      </c>
      <c r="L168" s="88">
        <f>SUM(Table1910[[#This Row],[Club 1]:[Club 50]])</f>
        <v>0</v>
      </c>
      <c r="M168" s="90">
        <f>SUM(Table1910[[#This Row],[Intra-school sports 1]:[Intra-school sports 50]])</f>
        <v>0</v>
      </c>
      <c r="N168" s="88">
        <f>SUM(Table1910[[#This Row],[Inter School sports 1]:[Inter School sports 50]])</f>
        <v>0</v>
      </c>
      <c r="O168" s="17">
        <f>COUNTIF(Table1910[[#This Row],[Community club (type name of club(s). All clubs will count as ''1'']],"*")</f>
        <v>0</v>
      </c>
      <c r="P168" s="17">
        <f>IF(OR(Table1910[[#This Row],[Total Challenges]]&gt;0,Table1910[[#This Row],[Total Ex-C Clubs]]&gt;0,Table1910[[#This Row],[Total Intra-School Sports]]&gt;0,Table1910[[#This Row],[Total Inter-School Sports]]&gt;0,Table1910[[#This Row],[Community Clubs]]&gt;0),1,0)</f>
        <v>0</v>
      </c>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21"/>
    </row>
    <row r="169" spans="1:218" x14ac:dyDescent="0.25">
      <c r="K169" s="64">
        <f>SUM(Table1910[[#This Row],[Challenge 1]:[Challenge 50]])</f>
        <v>0</v>
      </c>
      <c r="L169" s="2">
        <f>SUM(Table1910[[#This Row],[Club 1]:[Club 50]])</f>
        <v>0</v>
      </c>
      <c r="M169" s="91">
        <f>SUM(Table1910[[#This Row],[Intra-school sports 1]:[Intra-school sports 50]])</f>
        <v>0</v>
      </c>
      <c r="N169" s="2">
        <f>SUM(Table1910[[#This Row],[Inter School sports 1]:[Inter School sports 50]])</f>
        <v>0</v>
      </c>
      <c r="O169" s="64">
        <f>COUNTIF(Table1910[[#This Row],[Community club (type name of club(s). All clubs will count as ''1'']],"*")</f>
        <v>0</v>
      </c>
      <c r="P169" s="64">
        <f>IF(OR(Table1910[[#This Row],[Total Challenges]]&gt;0,Table1910[[#This Row],[Total Ex-C Clubs]]&gt;0,Table1910[[#This Row],[Total Intra-School Sports]]&gt;0,Table1910[[#This Row],[Total Inter-School Sports]]&gt;0,Table1910[[#This Row],[Community Clubs]]&gt;0),1,0)</f>
        <v>0</v>
      </c>
      <c r="HI169"/>
      <c r="HJ169" s="19"/>
    </row>
    <row r="170" spans="1:218" x14ac:dyDescent="0.25">
      <c r="K170" s="64">
        <f>SUM(Table1910[[#This Row],[Challenge 1]:[Challenge 50]])</f>
        <v>0</v>
      </c>
      <c r="L170" s="2">
        <f>SUM(Table1910[[#This Row],[Club 1]:[Club 50]])</f>
        <v>0</v>
      </c>
      <c r="M170" s="91">
        <f>SUM(Table1910[[#This Row],[Intra-school sports 1]:[Intra-school sports 50]])</f>
        <v>0</v>
      </c>
      <c r="N170" s="2">
        <f>SUM(Table1910[[#This Row],[Inter School sports 1]:[Inter School sports 50]])</f>
        <v>0</v>
      </c>
      <c r="O170" s="64">
        <f>COUNTIF(Table1910[[#This Row],[Community club (type name of club(s). All clubs will count as ''1'']],"*")</f>
        <v>0</v>
      </c>
      <c r="P170" s="64">
        <f>IF(OR(Table1910[[#This Row],[Total Challenges]]&gt;0,Table1910[[#This Row],[Total Ex-C Clubs]]&gt;0,Table1910[[#This Row],[Total Intra-School Sports]]&gt;0,Table1910[[#This Row],[Total Inter-School Sports]]&gt;0,Table1910[[#This Row],[Community Clubs]]&gt;0),1,0)</f>
        <v>0</v>
      </c>
      <c r="HI170"/>
      <c r="HJ170" s="19"/>
    </row>
    <row r="171" spans="1:218" x14ac:dyDescent="0.25">
      <c r="K171" s="64">
        <f>SUM(Table1910[[#This Row],[Challenge 1]:[Challenge 50]])</f>
        <v>0</v>
      </c>
      <c r="L171" s="2">
        <f>SUM(Table1910[[#This Row],[Club 1]:[Club 50]])</f>
        <v>0</v>
      </c>
      <c r="M171" s="91">
        <f>SUM(Table1910[[#This Row],[Intra-school sports 1]:[Intra-school sports 50]])</f>
        <v>0</v>
      </c>
      <c r="N171" s="2">
        <f>SUM(Table1910[[#This Row],[Inter School sports 1]:[Inter School sports 50]])</f>
        <v>0</v>
      </c>
      <c r="O171" s="64">
        <f>COUNTIF(Table1910[[#This Row],[Community club (type name of club(s). All clubs will count as ''1'']],"*")</f>
        <v>0</v>
      </c>
      <c r="P171" s="64">
        <f>IF(OR(Table1910[[#This Row],[Total Challenges]]&gt;0,Table1910[[#This Row],[Total Ex-C Clubs]]&gt;0,Table1910[[#This Row],[Total Intra-School Sports]]&gt;0,Table1910[[#This Row],[Total Inter-School Sports]]&gt;0,Table1910[[#This Row],[Community Clubs]]&gt;0),1,0)</f>
        <v>0</v>
      </c>
      <c r="HI171"/>
      <c r="HJ171" s="19"/>
    </row>
    <row r="172" spans="1:218" x14ac:dyDescent="0.25">
      <c r="K172" s="64">
        <f>SUM(Table1910[[#This Row],[Challenge 1]:[Challenge 50]])</f>
        <v>0</v>
      </c>
      <c r="L172" s="2">
        <f>SUM(Table1910[[#This Row],[Club 1]:[Club 50]])</f>
        <v>0</v>
      </c>
      <c r="M172" s="91">
        <f>SUM(Table1910[[#This Row],[Intra-school sports 1]:[Intra-school sports 50]])</f>
        <v>0</v>
      </c>
      <c r="N172" s="2">
        <f>SUM(Table1910[[#This Row],[Inter School sports 1]:[Inter School sports 50]])</f>
        <v>0</v>
      </c>
      <c r="O172" s="64">
        <f>COUNTIF(Table1910[[#This Row],[Community club (type name of club(s). All clubs will count as ''1'']],"*")</f>
        <v>0</v>
      </c>
      <c r="P172" s="64">
        <f>IF(OR(Table1910[[#This Row],[Total Challenges]]&gt;0,Table1910[[#This Row],[Total Ex-C Clubs]]&gt;0,Table1910[[#This Row],[Total Intra-School Sports]]&gt;0,Table1910[[#This Row],[Total Inter-School Sports]]&gt;0,Table1910[[#This Row],[Community Clubs]]&gt;0),1,0)</f>
        <v>0</v>
      </c>
      <c r="HI172"/>
      <c r="HJ172" s="19"/>
    </row>
    <row r="173" spans="1:218" x14ac:dyDescent="0.25">
      <c r="K173" s="64">
        <f>SUM(Table1910[[#This Row],[Challenge 1]:[Challenge 50]])</f>
        <v>0</v>
      </c>
      <c r="L173" s="2">
        <f>SUM(Table1910[[#This Row],[Club 1]:[Club 50]])</f>
        <v>0</v>
      </c>
      <c r="M173" s="91">
        <f>SUM(Table1910[[#This Row],[Intra-school sports 1]:[Intra-school sports 50]])</f>
        <v>0</v>
      </c>
      <c r="N173" s="2">
        <f>SUM(Table1910[[#This Row],[Inter School sports 1]:[Inter School sports 50]])</f>
        <v>0</v>
      </c>
      <c r="O173" s="64">
        <f>COUNTIF(Table1910[[#This Row],[Community club (type name of club(s). All clubs will count as ''1'']],"*")</f>
        <v>0</v>
      </c>
      <c r="P173" s="64">
        <f>IF(OR(Table1910[[#This Row],[Total Challenges]]&gt;0,Table1910[[#This Row],[Total Ex-C Clubs]]&gt;0,Table1910[[#This Row],[Total Intra-School Sports]]&gt;0,Table1910[[#This Row],[Total Inter-School Sports]]&gt;0,Table1910[[#This Row],[Community Clubs]]&gt;0),1,0)</f>
        <v>0</v>
      </c>
      <c r="HI173"/>
      <c r="HJ173" s="19"/>
    </row>
    <row r="174" spans="1:218" x14ac:dyDescent="0.25">
      <c r="K174" s="64">
        <f>SUM(Table1910[[#This Row],[Challenge 1]:[Challenge 50]])</f>
        <v>0</v>
      </c>
      <c r="L174" s="2">
        <f>SUM(Table1910[[#This Row],[Club 1]:[Club 50]])</f>
        <v>0</v>
      </c>
      <c r="M174" s="91">
        <f>SUM(Table1910[[#This Row],[Intra-school sports 1]:[Intra-school sports 50]])</f>
        <v>0</v>
      </c>
      <c r="N174" s="2">
        <f>SUM(Table1910[[#This Row],[Inter School sports 1]:[Inter School sports 50]])</f>
        <v>0</v>
      </c>
      <c r="O174" s="64">
        <f>COUNTIF(Table1910[[#This Row],[Community club (type name of club(s). All clubs will count as ''1'']],"*")</f>
        <v>0</v>
      </c>
      <c r="P174" s="64">
        <f>IF(OR(Table1910[[#This Row],[Total Challenges]]&gt;0,Table1910[[#This Row],[Total Ex-C Clubs]]&gt;0,Table1910[[#This Row],[Total Intra-School Sports]]&gt;0,Table1910[[#This Row],[Total Inter-School Sports]]&gt;0,Table1910[[#This Row],[Community Clubs]]&gt;0),1,0)</f>
        <v>0</v>
      </c>
      <c r="HI174"/>
      <c r="HJ174" s="19"/>
    </row>
    <row r="175" spans="1:218" x14ac:dyDescent="0.25">
      <c r="K175" s="64">
        <f>SUM(Table1910[[#This Row],[Challenge 1]:[Challenge 50]])</f>
        <v>0</v>
      </c>
      <c r="L175" s="2">
        <f>SUM(Table1910[[#This Row],[Club 1]:[Club 50]])</f>
        <v>0</v>
      </c>
      <c r="M175" s="91">
        <f>SUM(Table1910[[#This Row],[Intra-school sports 1]:[Intra-school sports 50]])</f>
        <v>0</v>
      </c>
      <c r="N175" s="2">
        <f>SUM(Table1910[[#This Row],[Inter School sports 1]:[Inter School sports 50]])</f>
        <v>0</v>
      </c>
      <c r="O175" s="64">
        <f>COUNTIF(Table1910[[#This Row],[Community club (type name of club(s). All clubs will count as ''1'']],"*")</f>
        <v>0</v>
      </c>
      <c r="P175" s="64">
        <f>IF(OR(Table1910[[#This Row],[Total Challenges]]&gt;0,Table1910[[#This Row],[Total Ex-C Clubs]]&gt;0,Table1910[[#This Row],[Total Intra-School Sports]]&gt;0,Table1910[[#This Row],[Total Inter-School Sports]]&gt;0,Table1910[[#This Row],[Community Clubs]]&gt;0),1,0)</f>
        <v>0</v>
      </c>
      <c r="HI175"/>
      <c r="HJ175" s="19"/>
    </row>
    <row r="176" spans="1:218" x14ac:dyDescent="0.25">
      <c r="K176" s="64">
        <f>SUM(Table1910[[#This Row],[Challenge 1]:[Challenge 50]])</f>
        <v>0</v>
      </c>
      <c r="L176" s="2">
        <f>SUM(Table1910[[#This Row],[Club 1]:[Club 50]])</f>
        <v>0</v>
      </c>
      <c r="M176" s="91">
        <f>SUM(Table1910[[#This Row],[Intra-school sports 1]:[Intra-school sports 50]])</f>
        <v>0</v>
      </c>
      <c r="N176" s="2">
        <f>SUM(Table1910[[#This Row],[Inter School sports 1]:[Inter School sports 50]])</f>
        <v>0</v>
      </c>
      <c r="O176" s="64">
        <f>COUNTIF(Table1910[[#This Row],[Community club (type name of club(s). All clubs will count as ''1'']],"*")</f>
        <v>0</v>
      </c>
      <c r="P176" s="64">
        <f>IF(OR(Table1910[[#This Row],[Total Challenges]]&gt;0,Table1910[[#This Row],[Total Ex-C Clubs]]&gt;0,Table1910[[#This Row],[Total Intra-School Sports]]&gt;0,Table1910[[#This Row],[Total Inter-School Sports]]&gt;0,Table1910[[#This Row],[Community Clubs]]&gt;0),1,0)</f>
        <v>0</v>
      </c>
      <c r="HI176"/>
      <c r="HJ176" s="19"/>
    </row>
    <row r="177" spans="11:218" x14ac:dyDescent="0.25">
      <c r="K177" s="64">
        <f>SUM(Table1910[[#This Row],[Challenge 1]:[Challenge 50]])</f>
        <v>0</v>
      </c>
      <c r="L177" s="2">
        <f>SUM(Table1910[[#This Row],[Club 1]:[Club 50]])</f>
        <v>0</v>
      </c>
      <c r="M177" s="91">
        <f>SUM(Table1910[[#This Row],[Intra-school sports 1]:[Intra-school sports 50]])</f>
        <v>0</v>
      </c>
      <c r="N177" s="2">
        <f>SUM(Table1910[[#This Row],[Inter School sports 1]:[Inter School sports 50]])</f>
        <v>0</v>
      </c>
      <c r="O177" s="64">
        <f>COUNTIF(Table1910[[#This Row],[Community club (type name of club(s). All clubs will count as ''1'']],"*")</f>
        <v>0</v>
      </c>
      <c r="P177" s="64">
        <f>IF(OR(Table1910[[#This Row],[Total Challenges]]&gt;0,Table1910[[#This Row],[Total Ex-C Clubs]]&gt;0,Table1910[[#This Row],[Total Intra-School Sports]]&gt;0,Table1910[[#This Row],[Total Inter-School Sports]]&gt;0,Table1910[[#This Row],[Community Clubs]]&gt;0),1,0)</f>
        <v>0</v>
      </c>
      <c r="HI177"/>
      <c r="HJ177" s="19"/>
    </row>
    <row r="178" spans="11:218" x14ac:dyDescent="0.25">
      <c r="K178" s="64">
        <f>SUM(Table1910[[#This Row],[Challenge 1]:[Challenge 50]])</f>
        <v>0</v>
      </c>
      <c r="L178" s="2">
        <f>SUM(Table1910[[#This Row],[Club 1]:[Club 50]])</f>
        <v>0</v>
      </c>
      <c r="M178" s="91">
        <f>SUM(Table1910[[#This Row],[Intra-school sports 1]:[Intra-school sports 50]])</f>
        <v>0</v>
      </c>
      <c r="N178" s="2">
        <f>SUM(Table1910[[#This Row],[Inter School sports 1]:[Inter School sports 50]])</f>
        <v>0</v>
      </c>
      <c r="O178" s="64">
        <f>COUNTIF(Table1910[[#This Row],[Community club (type name of club(s). All clubs will count as ''1'']],"*")</f>
        <v>0</v>
      </c>
      <c r="P178" s="64">
        <f>IF(OR(Table1910[[#This Row],[Total Challenges]]&gt;0,Table1910[[#This Row],[Total Ex-C Clubs]]&gt;0,Table1910[[#This Row],[Total Intra-School Sports]]&gt;0,Table1910[[#This Row],[Total Inter-School Sports]]&gt;0,Table1910[[#This Row],[Community Clubs]]&gt;0),1,0)</f>
        <v>0</v>
      </c>
      <c r="HI178"/>
      <c r="HJ178" s="19"/>
    </row>
    <row r="179" spans="11:218" x14ac:dyDescent="0.25">
      <c r="K179" s="64">
        <f>SUM(Table1910[[#This Row],[Challenge 1]:[Challenge 50]])</f>
        <v>0</v>
      </c>
      <c r="L179" s="2">
        <f>SUM(Table1910[[#This Row],[Club 1]:[Club 50]])</f>
        <v>0</v>
      </c>
      <c r="M179" s="91">
        <f>SUM(Table1910[[#This Row],[Intra-school sports 1]:[Intra-school sports 50]])</f>
        <v>0</v>
      </c>
      <c r="N179" s="2">
        <f>SUM(Table1910[[#This Row],[Inter School sports 1]:[Inter School sports 50]])</f>
        <v>0</v>
      </c>
      <c r="O179" s="64">
        <f>COUNTIF(Table1910[[#This Row],[Community club (type name of club(s). All clubs will count as ''1'']],"*")</f>
        <v>0</v>
      </c>
      <c r="P179" s="64">
        <f>IF(OR(Table1910[[#This Row],[Total Challenges]]&gt;0,Table1910[[#This Row],[Total Ex-C Clubs]]&gt;0,Table1910[[#This Row],[Total Intra-School Sports]]&gt;0,Table1910[[#This Row],[Total Inter-School Sports]]&gt;0,Table1910[[#This Row],[Community Clubs]]&gt;0),1,0)</f>
        <v>0</v>
      </c>
      <c r="HI179"/>
      <c r="HJ179" s="19"/>
    </row>
    <row r="180" spans="11:218" x14ac:dyDescent="0.25">
      <c r="K180" s="64">
        <f>SUM(Table1910[[#This Row],[Challenge 1]:[Challenge 50]])</f>
        <v>0</v>
      </c>
      <c r="L180" s="2">
        <f>SUM(Table1910[[#This Row],[Club 1]:[Club 50]])</f>
        <v>0</v>
      </c>
      <c r="M180" s="91">
        <f>SUM(Table1910[[#This Row],[Intra-school sports 1]:[Intra-school sports 50]])</f>
        <v>0</v>
      </c>
      <c r="N180" s="2">
        <f>SUM(Table1910[[#This Row],[Inter School sports 1]:[Inter School sports 50]])</f>
        <v>0</v>
      </c>
      <c r="O180" s="64">
        <f>COUNTIF(Table1910[[#This Row],[Community club (type name of club(s). All clubs will count as ''1'']],"*")</f>
        <v>0</v>
      </c>
      <c r="P180" s="64">
        <f>IF(OR(Table1910[[#This Row],[Total Challenges]]&gt;0,Table1910[[#This Row],[Total Ex-C Clubs]]&gt;0,Table1910[[#This Row],[Total Intra-School Sports]]&gt;0,Table1910[[#This Row],[Total Inter-School Sports]]&gt;0,Table1910[[#This Row],[Community Clubs]]&gt;0),1,0)</f>
        <v>0</v>
      </c>
      <c r="HI180"/>
      <c r="HJ180" s="19"/>
    </row>
    <row r="181" spans="11:218" x14ac:dyDescent="0.25">
      <c r="K181" s="64">
        <f>SUM(Table1910[[#This Row],[Challenge 1]:[Challenge 50]])</f>
        <v>0</v>
      </c>
      <c r="L181" s="2">
        <f>SUM(Table1910[[#This Row],[Club 1]:[Club 50]])</f>
        <v>0</v>
      </c>
      <c r="M181" s="91">
        <f>SUM(Table1910[[#This Row],[Intra-school sports 1]:[Intra-school sports 50]])</f>
        <v>0</v>
      </c>
      <c r="N181" s="2">
        <f>SUM(Table1910[[#This Row],[Inter School sports 1]:[Inter School sports 50]])</f>
        <v>0</v>
      </c>
      <c r="O181" s="64">
        <f>COUNTIF(Table1910[[#This Row],[Community club (type name of club(s). All clubs will count as ''1'']],"*")</f>
        <v>0</v>
      </c>
      <c r="P181" s="64">
        <f>IF(OR(Table1910[[#This Row],[Total Challenges]]&gt;0,Table1910[[#This Row],[Total Ex-C Clubs]]&gt;0,Table1910[[#This Row],[Total Intra-School Sports]]&gt;0,Table1910[[#This Row],[Total Inter-School Sports]]&gt;0,Table1910[[#This Row],[Community Clubs]]&gt;0),1,0)</f>
        <v>0</v>
      </c>
      <c r="HI181"/>
      <c r="HJ181" s="19"/>
    </row>
    <row r="182" spans="11:218" x14ac:dyDescent="0.25">
      <c r="K182" s="64">
        <f>SUM(Table1910[[#This Row],[Challenge 1]:[Challenge 50]])</f>
        <v>0</v>
      </c>
      <c r="L182" s="2">
        <f>SUM(Table1910[[#This Row],[Club 1]:[Club 50]])</f>
        <v>0</v>
      </c>
      <c r="M182" s="91">
        <f>SUM(Table1910[[#This Row],[Intra-school sports 1]:[Intra-school sports 50]])</f>
        <v>0</v>
      </c>
      <c r="N182" s="2">
        <f>SUM(Table1910[[#This Row],[Inter School sports 1]:[Inter School sports 50]])</f>
        <v>0</v>
      </c>
      <c r="O182" s="64">
        <f>COUNTIF(Table1910[[#This Row],[Community club (type name of club(s). All clubs will count as ''1'']],"*")</f>
        <v>0</v>
      </c>
      <c r="P182" s="64">
        <f>IF(OR(Table1910[[#This Row],[Total Challenges]]&gt;0,Table1910[[#This Row],[Total Ex-C Clubs]]&gt;0,Table1910[[#This Row],[Total Intra-School Sports]]&gt;0,Table1910[[#This Row],[Total Inter-School Sports]]&gt;0,Table1910[[#This Row],[Community Clubs]]&gt;0),1,0)</f>
        <v>0</v>
      </c>
      <c r="HI182"/>
      <c r="HJ182" s="19"/>
    </row>
    <row r="183" spans="11:218" x14ac:dyDescent="0.25">
      <c r="K183" s="64">
        <f>SUM(Table1910[[#This Row],[Challenge 1]:[Challenge 50]])</f>
        <v>0</v>
      </c>
      <c r="L183" s="2">
        <f>SUM(Table1910[[#This Row],[Club 1]:[Club 50]])</f>
        <v>0</v>
      </c>
      <c r="M183" s="91">
        <f>SUM(Table1910[[#This Row],[Intra-school sports 1]:[Intra-school sports 50]])</f>
        <v>0</v>
      </c>
      <c r="N183" s="2">
        <f>SUM(Table1910[[#This Row],[Inter School sports 1]:[Inter School sports 50]])</f>
        <v>0</v>
      </c>
      <c r="O183" s="64">
        <f>COUNTIF(Table1910[[#This Row],[Community club (type name of club(s). All clubs will count as ''1'']],"*")</f>
        <v>0</v>
      </c>
      <c r="P183" s="64">
        <f>IF(OR(Table1910[[#This Row],[Total Challenges]]&gt;0,Table1910[[#This Row],[Total Ex-C Clubs]]&gt;0,Table1910[[#This Row],[Total Intra-School Sports]]&gt;0,Table1910[[#This Row],[Total Inter-School Sports]]&gt;0,Table1910[[#This Row],[Community Clubs]]&gt;0),1,0)</f>
        <v>0</v>
      </c>
      <c r="HI183"/>
      <c r="HJ183" s="19"/>
    </row>
    <row r="184" spans="11:218" x14ac:dyDescent="0.25">
      <c r="K184" s="64">
        <f>SUM(Table1910[[#This Row],[Challenge 1]:[Challenge 50]])</f>
        <v>0</v>
      </c>
      <c r="L184" s="2">
        <f>SUM(Table1910[[#This Row],[Club 1]:[Club 50]])</f>
        <v>0</v>
      </c>
      <c r="M184" s="91">
        <f>SUM(Table1910[[#This Row],[Intra-school sports 1]:[Intra-school sports 50]])</f>
        <v>0</v>
      </c>
      <c r="N184" s="2">
        <f>SUM(Table1910[[#This Row],[Inter School sports 1]:[Inter School sports 50]])</f>
        <v>0</v>
      </c>
      <c r="O184" s="64">
        <f>COUNTIF(Table1910[[#This Row],[Community club (type name of club(s). All clubs will count as ''1'']],"*")</f>
        <v>0</v>
      </c>
      <c r="P184" s="64">
        <f>IF(OR(Table1910[[#This Row],[Total Challenges]]&gt;0,Table1910[[#This Row],[Total Ex-C Clubs]]&gt;0,Table1910[[#This Row],[Total Intra-School Sports]]&gt;0,Table1910[[#This Row],[Total Inter-School Sports]]&gt;0,Table1910[[#This Row],[Community Clubs]]&gt;0),1,0)</f>
        <v>0</v>
      </c>
      <c r="HI184"/>
      <c r="HJ184" s="19"/>
    </row>
    <row r="185" spans="11:218" x14ac:dyDescent="0.25">
      <c r="K185" s="64">
        <f>SUM(Table1910[[#This Row],[Challenge 1]:[Challenge 50]])</f>
        <v>0</v>
      </c>
      <c r="L185" s="2">
        <f>SUM(Table1910[[#This Row],[Club 1]:[Club 50]])</f>
        <v>0</v>
      </c>
      <c r="M185" s="91">
        <f>SUM(Table1910[[#This Row],[Intra-school sports 1]:[Intra-school sports 50]])</f>
        <v>0</v>
      </c>
      <c r="N185" s="2">
        <f>SUM(Table1910[[#This Row],[Inter School sports 1]:[Inter School sports 50]])</f>
        <v>0</v>
      </c>
      <c r="O185" s="64">
        <f>COUNTIF(Table1910[[#This Row],[Community club (type name of club(s). All clubs will count as ''1'']],"*")</f>
        <v>0</v>
      </c>
      <c r="P185" s="64">
        <f>IF(OR(Table1910[[#This Row],[Total Challenges]]&gt;0,Table1910[[#This Row],[Total Ex-C Clubs]]&gt;0,Table1910[[#This Row],[Total Intra-School Sports]]&gt;0,Table1910[[#This Row],[Total Inter-School Sports]]&gt;0,Table1910[[#This Row],[Community Clubs]]&gt;0),1,0)</f>
        <v>0</v>
      </c>
      <c r="HI185"/>
      <c r="HJ185" s="19"/>
    </row>
    <row r="186" spans="11:218" x14ac:dyDescent="0.25">
      <c r="K186" s="64">
        <f>SUM(Table1910[[#This Row],[Challenge 1]:[Challenge 50]])</f>
        <v>0</v>
      </c>
      <c r="L186" s="2">
        <f>SUM(Table1910[[#This Row],[Club 1]:[Club 50]])</f>
        <v>0</v>
      </c>
      <c r="M186" s="91">
        <f>SUM(Table1910[[#This Row],[Intra-school sports 1]:[Intra-school sports 50]])</f>
        <v>0</v>
      </c>
      <c r="N186" s="2">
        <f>SUM(Table1910[[#This Row],[Inter School sports 1]:[Inter School sports 50]])</f>
        <v>0</v>
      </c>
      <c r="O186" s="64">
        <f>COUNTIF(Table1910[[#This Row],[Community club (type name of club(s). All clubs will count as ''1'']],"*")</f>
        <v>0</v>
      </c>
      <c r="P186" s="64">
        <f>IF(OR(Table1910[[#This Row],[Total Challenges]]&gt;0,Table1910[[#This Row],[Total Ex-C Clubs]]&gt;0,Table1910[[#This Row],[Total Intra-School Sports]]&gt;0,Table1910[[#This Row],[Total Inter-School Sports]]&gt;0,Table1910[[#This Row],[Community Clubs]]&gt;0),1,0)</f>
        <v>0</v>
      </c>
      <c r="HI186"/>
      <c r="HJ186" s="19"/>
    </row>
    <row r="187" spans="11:218" x14ac:dyDescent="0.25">
      <c r="K187" s="64">
        <f>SUM(Table1910[[#This Row],[Challenge 1]:[Challenge 50]])</f>
        <v>0</v>
      </c>
      <c r="L187" s="2">
        <f>SUM(Table1910[[#This Row],[Club 1]:[Club 50]])</f>
        <v>0</v>
      </c>
      <c r="M187" s="91">
        <f>SUM(Table1910[[#This Row],[Intra-school sports 1]:[Intra-school sports 50]])</f>
        <v>0</v>
      </c>
      <c r="N187" s="2">
        <f>SUM(Table1910[[#This Row],[Inter School sports 1]:[Inter School sports 50]])</f>
        <v>0</v>
      </c>
      <c r="O187" s="64">
        <f>COUNTIF(Table1910[[#This Row],[Community club (type name of club(s). All clubs will count as ''1'']],"*")</f>
        <v>0</v>
      </c>
      <c r="P187" s="64">
        <f>IF(OR(Table1910[[#This Row],[Total Challenges]]&gt;0,Table1910[[#This Row],[Total Ex-C Clubs]]&gt;0,Table1910[[#This Row],[Total Intra-School Sports]]&gt;0,Table1910[[#This Row],[Total Inter-School Sports]]&gt;0,Table1910[[#This Row],[Community Clubs]]&gt;0),1,0)</f>
        <v>0</v>
      </c>
      <c r="HI187"/>
      <c r="HJ187" s="19"/>
    </row>
    <row r="188" spans="11:218" x14ac:dyDescent="0.25">
      <c r="K188" s="64">
        <f>SUM(Table1910[[#This Row],[Challenge 1]:[Challenge 50]])</f>
        <v>0</v>
      </c>
      <c r="L188" s="2">
        <f>SUM(Table1910[[#This Row],[Club 1]:[Club 50]])</f>
        <v>0</v>
      </c>
      <c r="M188" s="91">
        <f>SUM(Table1910[[#This Row],[Intra-school sports 1]:[Intra-school sports 50]])</f>
        <v>0</v>
      </c>
      <c r="N188" s="2">
        <f>SUM(Table1910[[#This Row],[Inter School sports 1]:[Inter School sports 50]])</f>
        <v>0</v>
      </c>
      <c r="O188" s="64">
        <f>COUNTIF(Table1910[[#This Row],[Community club (type name of club(s). All clubs will count as ''1'']],"*")</f>
        <v>0</v>
      </c>
      <c r="P188" s="64">
        <f>IF(OR(Table1910[[#This Row],[Total Challenges]]&gt;0,Table1910[[#This Row],[Total Ex-C Clubs]]&gt;0,Table1910[[#This Row],[Total Intra-School Sports]]&gt;0,Table1910[[#This Row],[Total Inter-School Sports]]&gt;0,Table1910[[#This Row],[Community Clubs]]&gt;0),1,0)</f>
        <v>0</v>
      </c>
      <c r="HI188"/>
      <c r="HJ188" s="19"/>
    </row>
    <row r="189" spans="11:218" x14ac:dyDescent="0.25">
      <c r="K189" s="64">
        <f>SUM(Table1910[[#This Row],[Challenge 1]:[Challenge 50]])</f>
        <v>0</v>
      </c>
      <c r="L189" s="2">
        <f>SUM(Table1910[[#This Row],[Club 1]:[Club 50]])</f>
        <v>0</v>
      </c>
      <c r="M189" s="91">
        <f>SUM(Table1910[[#This Row],[Intra-school sports 1]:[Intra-school sports 50]])</f>
        <v>0</v>
      </c>
      <c r="N189" s="2">
        <f>SUM(Table1910[[#This Row],[Inter School sports 1]:[Inter School sports 50]])</f>
        <v>0</v>
      </c>
      <c r="O189" s="64">
        <f>COUNTIF(Table1910[[#This Row],[Community club (type name of club(s). All clubs will count as ''1'']],"*")</f>
        <v>0</v>
      </c>
      <c r="P189" s="64">
        <f>IF(OR(Table1910[[#This Row],[Total Challenges]]&gt;0,Table1910[[#This Row],[Total Ex-C Clubs]]&gt;0,Table1910[[#This Row],[Total Intra-School Sports]]&gt;0,Table1910[[#This Row],[Total Inter-School Sports]]&gt;0,Table1910[[#This Row],[Community Clubs]]&gt;0),1,0)</f>
        <v>0</v>
      </c>
      <c r="HI189"/>
      <c r="HJ189" s="19"/>
    </row>
    <row r="190" spans="11:218" x14ac:dyDescent="0.25">
      <c r="K190" s="64">
        <f>SUM(Table1910[[#This Row],[Challenge 1]:[Challenge 50]])</f>
        <v>0</v>
      </c>
      <c r="L190" s="2">
        <f>SUM(Table1910[[#This Row],[Club 1]:[Club 50]])</f>
        <v>0</v>
      </c>
      <c r="M190" s="91">
        <f>SUM(Table1910[[#This Row],[Intra-school sports 1]:[Intra-school sports 50]])</f>
        <v>0</v>
      </c>
      <c r="N190" s="2">
        <f>SUM(Table1910[[#This Row],[Inter School sports 1]:[Inter School sports 50]])</f>
        <v>0</v>
      </c>
      <c r="O190" s="64">
        <f>COUNTIF(Table1910[[#This Row],[Community club (type name of club(s). All clubs will count as ''1'']],"*")</f>
        <v>0</v>
      </c>
      <c r="P190" s="64">
        <f>IF(OR(Table1910[[#This Row],[Total Challenges]]&gt;0,Table1910[[#This Row],[Total Ex-C Clubs]]&gt;0,Table1910[[#This Row],[Total Intra-School Sports]]&gt;0,Table1910[[#This Row],[Total Inter-School Sports]]&gt;0,Table1910[[#This Row],[Community Clubs]]&gt;0),1,0)</f>
        <v>0</v>
      </c>
      <c r="HI190"/>
      <c r="HJ190" s="19"/>
    </row>
    <row r="191" spans="11:218" x14ac:dyDescent="0.25">
      <c r="K191" s="64">
        <f>SUM(Table1910[[#This Row],[Challenge 1]:[Challenge 50]])</f>
        <v>0</v>
      </c>
      <c r="L191" s="2">
        <f>SUM(Table1910[[#This Row],[Club 1]:[Club 50]])</f>
        <v>0</v>
      </c>
      <c r="M191" s="91">
        <f>SUM(Table1910[[#This Row],[Intra-school sports 1]:[Intra-school sports 50]])</f>
        <v>0</v>
      </c>
      <c r="N191" s="2">
        <f>SUM(Table1910[[#This Row],[Inter School sports 1]:[Inter School sports 50]])</f>
        <v>0</v>
      </c>
      <c r="O191" s="64">
        <f>COUNTIF(Table1910[[#This Row],[Community club (type name of club(s). All clubs will count as ''1'']],"*")</f>
        <v>0</v>
      </c>
      <c r="P191" s="64">
        <f>IF(OR(Table1910[[#This Row],[Total Challenges]]&gt;0,Table1910[[#This Row],[Total Ex-C Clubs]]&gt;0,Table1910[[#This Row],[Total Intra-School Sports]]&gt;0,Table1910[[#This Row],[Total Inter-School Sports]]&gt;0,Table1910[[#This Row],[Community Clubs]]&gt;0),1,0)</f>
        <v>0</v>
      </c>
      <c r="HI191"/>
      <c r="HJ191" s="19"/>
    </row>
    <row r="192" spans="11:218" x14ac:dyDescent="0.25">
      <c r="K192" s="64">
        <f>SUM(Table1910[[#This Row],[Challenge 1]:[Challenge 50]])</f>
        <v>0</v>
      </c>
      <c r="L192" s="2">
        <f>SUM(Table1910[[#This Row],[Club 1]:[Club 50]])</f>
        <v>0</v>
      </c>
      <c r="M192" s="91">
        <f>SUM(Table1910[[#This Row],[Intra-school sports 1]:[Intra-school sports 50]])</f>
        <v>0</v>
      </c>
      <c r="N192" s="2">
        <f>SUM(Table1910[[#This Row],[Inter School sports 1]:[Inter School sports 50]])</f>
        <v>0</v>
      </c>
      <c r="O192" s="64">
        <f>COUNTIF(Table1910[[#This Row],[Community club (type name of club(s). All clubs will count as ''1'']],"*")</f>
        <v>0</v>
      </c>
      <c r="P192" s="64">
        <f>IF(OR(Table1910[[#This Row],[Total Challenges]]&gt;0,Table1910[[#This Row],[Total Ex-C Clubs]]&gt;0,Table1910[[#This Row],[Total Intra-School Sports]]&gt;0,Table1910[[#This Row],[Total Inter-School Sports]]&gt;0,Table1910[[#This Row],[Community Clubs]]&gt;0),1,0)</f>
        <v>0</v>
      </c>
      <c r="HI192"/>
      <c r="HJ192" s="19"/>
    </row>
    <row r="193" spans="11:218" x14ac:dyDescent="0.25">
      <c r="K193" s="64">
        <f>SUM(Table1910[[#This Row],[Challenge 1]:[Challenge 50]])</f>
        <v>0</v>
      </c>
      <c r="L193" s="2">
        <f>SUM(Table1910[[#This Row],[Club 1]:[Club 50]])</f>
        <v>0</v>
      </c>
      <c r="M193" s="91">
        <f>SUM(Table1910[[#This Row],[Intra-school sports 1]:[Intra-school sports 50]])</f>
        <v>0</v>
      </c>
      <c r="N193" s="2">
        <f>SUM(Table1910[[#This Row],[Inter School sports 1]:[Inter School sports 50]])</f>
        <v>0</v>
      </c>
      <c r="O193" s="64">
        <f>COUNTIF(Table1910[[#This Row],[Community club (type name of club(s). All clubs will count as ''1'']],"*")</f>
        <v>0</v>
      </c>
      <c r="P193" s="64">
        <f>IF(OR(Table1910[[#This Row],[Total Challenges]]&gt;0,Table1910[[#This Row],[Total Ex-C Clubs]]&gt;0,Table1910[[#This Row],[Total Intra-School Sports]]&gt;0,Table1910[[#This Row],[Total Inter-School Sports]]&gt;0,Table1910[[#This Row],[Community Clubs]]&gt;0),1,0)</f>
        <v>0</v>
      </c>
      <c r="HI193"/>
      <c r="HJ193" s="19"/>
    </row>
    <row r="194" spans="11:218" x14ac:dyDescent="0.25">
      <c r="K194" s="64">
        <f>SUM(Table1910[[#This Row],[Challenge 1]:[Challenge 50]])</f>
        <v>0</v>
      </c>
      <c r="L194" s="2">
        <f>SUM(Table1910[[#This Row],[Club 1]:[Club 50]])</f>
        <v>0</v>
      </c>
      <c r="M194" s="91">
        <f>SUM(Table1910[[#This Row],[Intra-school sports 1]:[Intra-school sports 50]])</f>
        <v>0</v>
      </c>
      <c r="N194" s="2">
        <f>SUM(Table1910[[#This Row],[Inter School sports 1]:[Inter School sports 50]])</f>
        <v>0</v>
      </c>
      <c r="O194" s="64">
        <f>COUNTIF(Table1910[[#This Row],[Community club (type name of club(s). All clubs will count as ''1'']],"*")</f>
        <v>0</v>
      </c>
      <c r="P194" s="64">
        <f>IF(OR(Table1910[[#This Row],[Total Challenges]]&gt;0,Table1910[[#This Row],[Total Ex-C Clubs]]&gt;0,Table1910[[#This Row],[Total Intra-School Sports]]&gt;0,Table1910[[#This Row],[Total Inter-School Sports]]&gt;0,Table1910[[#This Row],[Community Clubs]]&gt;0),1,0)</f>
        <v>0</v>
      </c>
      <c r="HI194"/>
      <c r="HJ194" s="19"/>
    </row>
    <row r="195" spans="11:218" x14ac:dyDescent="0.25">
      <c r="K195" s="64">
        <f>SUM(Table1910[[#This Row],[Challenge 1]:[Challenge 50]])</f>
        <v>0</v>
      </c>
      <c r="L195" s="2">
        <f>SUM(Table1910[[#This Row],[Club 1]:[Club 50]])</f>
        <v>0</v>
      </c>
      <c r="M195" s="91">
        <f>SUM(Table1910[[#This Row],[Intra-school sports 1]:[Intra-school sports 50]])</f>
        <v>0</v>
      </c>
      <c r="N195" s="2">
        <f>SUM(Table1910[[#This Row],[Inter School sports 1]:[Inter School sports 50]])</f>
        <v>0</v>
      </c>
      <c r="O195" s="64">
        <f>COUNTIF(Table1910[[#This Row],[Community club (type name of club(s). All clubs will count as ''1'']],"*")</f>
        <v>0</v>
      </c>
      <c r="P195" s="64">
        <f>IF(OR(Table1910[[#This Row],[Total Challenges]]&gt;0,Table1910[[#This Row],[Total Ex-C Clubs]]&gt;0,Table1910[[#This Row],[Total Intra-School Sports]]&gt;0,Table1910[[#This Row],[Total Inter-School Sports]]&gt;0,Table1910[[#This Row],[Community Clubs]]&gt;0),1,0)</f>
        <v>0</v>
      </c>
      <c r="HI195"/>
      <c r="HJ195" s="19"/>
    </row>
    <row r="196" spans="11:218" x14ac:dyDescent="0.25">
      <c r="K196" s="64">
        <f>SUM(Table1910[[#This Row],[Challenge 1]:[Challenge 50]])</f>
        <v>0</v>
      </c>
      <c r="L196" s="2">
        <f>SUM(Table1910[[#This Row],[Club 1]:[Club 50]])</f>
        <v>0</v>
      </c>
      <c r="M196" s="91">
        <f>SUM(Table1910[[#This Row],[Intra-school sports 1]:[Intra-school sports 50]])</f>
        <v>0</v>
      </c>
      <c r="N196" s="2">
        <f>SUM(Table1910[[#This Row],[Inter School sports 1]:[Inter School sports 50]])</f>
        <v>0</v>
      </c>
      <c r="O196" s="64">
        <f>COUNTIF(Table1910[[#This Row],[Community club (type name of club(s). All clubs will count as ''1'']],"*")</f>
        <v>0</v>
      </c>
      <c r="P196" s="64">
        <f>IF(OR(Table1910[[#This Row],[Total Challenges]]&gt;0,Table1910[[#This Row],[Total Ex-C Clubs]]&gt;0,Table1910[[#This Row],[Total Intra-School Sports]]&gt;0,Table1910[[#This Row],[Total Inter-School Sports]]&gt;0,Table1910[[#This Row],[Community Clubs]]&gt;0),1,0)</f>
        <v>0</v>
      </c>
      <c r="HI196"/>
      <c r="HJ196" s="19"/>
    </row>
    <row r="197" spans="11:218" x14ac:dyDescent="0.25">
      <c r="K197" s="64">
        <f>SUM(Table1910[[#This Row],[Challenge 1]:[Challenge 50]])</f>
        <v>0</v>
      </c>
      <c r="L197" s="2">
        <f>SUM(Table1910[[#This Row],[Club 1]:[Club 50]])</f>
        <v>0</v>
      </c>
      <c r="M197" s="91">
        <f>SUM(Table1910[[#This Row],[Intra-school sports 1]:[Intra-school sports 50]])</f>
        <v>0</v>
      </c>
      <c r="N197" s="2">
        <f>SUM(Table1910[[#This Row],[Inter School sports 1]:[Inter School sports 50]])</f>
        <v>0</v>
      </c>
      <c r="O197" s="64">
        <f>COUNTIF(Table1910[[#This Row],[Community club (type name of club(s). All clubs will count as ''1'']],"*")</f>
        <v>0</v>
      </c>
      <c r="P197" s="64">
        <f>IF(OR(Table1910[[#This Row],[Total Challenges]]&gt;0,Table1910[[#This Row],[Total Ex-C Clubs]]&gt;0,Table1910[[#This Row],[Total Intra-School Sports]]&gt;0,Table1910[[#This Row],[Total Inter-School Sports]]&gt;0,Table1910[[#This Row],[Community Clubs]]&gt;0),1,0)</f>
        <v>0</v>
      </c>
      <c r="HI197"/>
      <c r="HJ197" s="19"/>
    </row>
    <row r="198" spans="11:218" x14ac:dyDescent="0.25">
      <c r="K198" s="64">
        <f>SUM(Table1910[[#This Row],[Challenge 1]:[Challenge 50]])</f>
        <v>0</v>
      </c>
      <c r="L198" s="2">
        <f>SUM(Table1910[[#This Row],[Club 1]:[Club 50]])</f>
        <v>0</v>
      </c>
      <c r="M198" s="91">
        <f>SUM(Table1910[[#This Row],[Intra-school sports 1]:[Intra-school sports 50]])</f>
        <v>0</v>
      </c>
      <c r="N198" s="2">
        <f>SUM(Table1910[[#This Row],[Inter School sports 1]:[Inter School sports 50]])</f>
        <v>0</v>
      </c>
      <c r="O198" s="64">
        <f>COUNTIF(Table1910[[#This Row],[Community club (type name of club(s). All clubs will count as ''1'']],"*")</f>
        <v>0</v>
      </c>
      <c r="P198" s="64">
        <f>IF(OR(Table1910[[#This Row],[Total Challenges]]&gt;0,Table1910[[#This Row],[Total Ex-C Clubs]]&gt;0,Table1910[[#This Row],[Total Intra-School Sports]]&gt;0,Table1910[[#This Row],[Total Inter-School Sports]]&gt;0,Table1910[[#This Row],[Community Clubs]]&gt;0),1,0)</f>
        <v>0</v>
      </c>
      <c r="HI198"/>
      <c r="HJ198" s="19"/>
    </row>
    <row r="199" spans="11:218" x14ac:dyDescent="0.25">
      <c r="K199" s="64">
        <f>SUM(Table1910[[#This Row],[Challenge 1]:[Challenge 50]])</f>
        <v>0</v>
      </c>
      <c r="L199" s="2">
        <f>SUM(Table1910[[#This Row],[Club 1]:[Club 50]])</f>
        <v>0</v>
      </c>
      <c r="M199" s="91">
        <f>SUM(Table1910[[#This Row],[Intra-school sports 1]:[Intra-school sports 50]])</f>
        <v>0</v>
      </c>
      <c r="N199" s="2">
        <f>SUM(Table1910[[#This Row],[Inter School sports 1]:[Inter School sports 50]])</f>
        <v>0</v>
      </c>
      <c r="O199" s="64">
        <f>COUNTIF(Table1910[[#This Row],[Community club (type name of club(s). All clubs will count as ''1'']],"*")</f>
        <v>0</v>
      </c>
      <c r="P199" s="64">
        <f>IF(OR(Table1910[[#This Row],[Total Challenges]]&gt;0,Table1910[[#This Row],[Total Ex-C Clubs]]&gt;0,Table1910[[#This Row],[Total Intra-School Sports]]&gt;0,Table1910[[#This Row],[Total Inter-School Sports]]&gt;0,Table1910[[#This Row],[Community Clubs]]&gt;0),1,0)</f>
        <v>0</v>
      </c>
      <c r="HI199"/>
      <c r="HJ199" s="19"/>
    </row>
    <row r="200" spans="11:218" x14ac:dyDescent="0.25">
      <c r="K200" s="64">
        <f>SUM(Table1910[[#This Row],[Challenge 1]:[Challenge 50]])</f>
        <v>0</v>
      </c>
      <c r="L200" s="2">
        <f>SUM(Table1910[[#This Row],[Club 1]:[Club 50]])</f>
        <v>0</v>
      </c>
      <c r="M200" s="91">
        <f>SUM(Table1910[[#This Row],[Intra-school sports 1]:[Intra-school sports 50]])</f>
        <v>0</v>
      </c>
      <c r="N200" s="2">
        <f>SUM(Table1910[[#This Row],[Inter School sports 1]:[Inter School sports 50]])</f>
        <v>0</v>
      </c>
      <c r="O200" s="64">
        <f>COUNTIF(Table1910[[#This Row],[Community club (type name of club(s). All clubs will count as ''1'']],"*")</f>
        <v>0</v>
      </c>
      <c r="P200" s="64">
        <f>IF(OR(Table1910[[#This Row],[Total Challenges]]&gt;0,Table1910[[#This Row],[Total Ex-C Clubs]]&gt;0,Table1910[[#This Row],[Total Intra-School Sports]]&gt;0,Table1910[[#This Row],[Total Inter-School Sports]]&gt;0,Table1910[[#This Row],[Community Clubs]]&gt;0),1,0)</f>
        <v>0</v>
      </c>
      <c r="HI200"/>
      <c r="HJ200" s="19"/>
    </row>
    <row r="201" spans="11:218" x14ac:dyDescent="0.25">
      <c r="K201" s="64">
        <f>SUM(Table1910[[#This Row],[Challenge 1]:[Challenge 50]])</f>
        <v>0</v>
      </c>
      <c r="L201" s="2">
        <f>SUM(Table1910[[#This Row],[Club 1]:[Club 50]])</f>
        <v>0</v>
      </c>
      <c r="M201" s="91">
        <f>SUM(Table1910[[#This Row],[Intra-school sports 1]:[Intra-school sports 50]])</f>
        <v>0</v>
      </c>
      <c r="N201" s="2">
        <f>SUM(Table1910[[#This Row],[Inter School sports 1]:[Inter School sports 50]])</f>
        <v>0</v>
      </c>
      <c r="O201" s="64">
        <f>COUNTIF(Table1910[[#This Row],[Community club (type name of club(s). All clubs will count as ''1'']],"*")</f>
        <v>0</v>
      </c>
      <c r="P201" s="64">
        <f>IF(OR(Table1910[[#This Row],[Total Challenges]]&gt;0,Table1910[[#This Row],[Total Ex-C Clubs]]&gt;0,Table1910[[#This Row],[Total Intra-School Sports]]&gt;0,Table1910[[#This Row],[Total Inter-School Sports]]&gt;0,Table1910[[#This Row],[Community Clubs]]&gt;0),1,0)</f>
        <v>0</v>
      </c>
      <c r="HI201"/>
      <c r="HJ201" s="19"/>
    </row>
    <row r="202" spans="11:218" x14ac:dyDescent="0.25">
      <c r="K202" s="64">
        <f>SUM(Table1910[[#This Row],[Challenge 1]:[Challenge 50]])</f>
        <v>0</v>
      </c>
      <c r="L202" s="2">
        <f>SUM(Table1910[[#This Row],[Club 1]:[Club 50]])</f>
        <v>0</v>
      </c>
      <c r="M202" s="91">
        <f>SUM(Table1910[[#This Row],[Intra-school sports 1]:[Intra-school sports 50]])</f>
        <v>0</v>
      </c>
      <c r="N202" s="2">
        <f>SUM(Table1910[[#This Row],[Inter School sports 1]:[Inter School sports 50]])</f>
        <v>0</v>
      </c>
      <c r="O202" s="64">
        <f>COUNTIF(Table1910[[#This Row],[Community club (type name of club(s). All clubs will count as ''1'']],"*")</f>
        <v>0</v>
      </c>
      <c r="P202" s="64">
        <f>IF(OR(Table1910[[#This Row],[Total Challenges]]&gt;0,Table1910[[#This Row],[Total Ex-C Clubs]]&gt;0,Table1910[[#This Row],[Total Intra-School Sports]]&gt;0,Table1910[[#This Row],[Total Inter-School Sports]]&gt;0,Table1910[[#This Row],[Community Clubs]]&gt;0),1,0)</f>
        <v>0</v>
      </c>
      <c r="HI202"/>
      <c r="HJ202" s="19"/>
    </row>
    <row r="203" spans="11:218" x14ac:dyDescent="0.25">
      <c r="K203" s="64">
        <f>SUM(Table1910[[#This Row],[Challenge 1]:[Challenge 50]])</f>
        <v>0</v>
      </c>
      <c r="L203" s="2">
        <f>SUM(Table1910[[#This Row],[Club 1]:[Club 50]])</f>
        <v>0</v>
      </c>
      <c r="M203" s="91">
        <f>SUM(Table1910[[#This Row],[Intra-school sports 1]:[Intra-school sports 50]])</f>
        <v>0</v>
      </c>
      <c r="N203" s="2">
        <f>SUM(Table1910[[#This Row],[Inter School sports 1]:[Inter School sports 50]])</f>
        <v>0</v>
      </c>
      <c r="O203" s="64">
        <f>COUNTIF(Table1910[[#This Row],[Community club (type name of club(s). All clubs will count as ''1'']],"*")</f>
        <v>0</v>
      </c>
      <c r="P203" s="64">
        <f>IF(OR(Table1910[[#This Row],[Total Challenges]]&gt;0,Table1910[[#This Row],[Total Ex-C Clubs]]&gt;0,Table1910[[#This Row],[Total Intra-School Sports]]&gt;0,Table1910[[#This Row],[Total Inter-School Sports]]&gt;0,Table1910[[#This Row],[Community Clubs]]&gt;0),1,0)</f>
        <v>0</v>
      </c>
      <c r="HI203"/>
      <c r="HJ203" s="19"/>
    </row>
    <row r="204" spans="11:218" x14ac:dyDescent="0.25">
      <c r="K204" s="64">
        <f>SUM(Table1910[[#This Row],[Challenge 1]:[Challenge 50]])</f>
        <v>0</v>
      </c>
      <c r="L204" s="2">
        <f>SUM(Table1910[[#This Row],[Club 1]:[Club 50]])</f>
        <v>0</v>
      </c>
      <c r="M204" s="91">
        <f>SUM(Table1910[[#This Row],[Intra-school sports 1]:[Intra-school sports 50]])</f>
        <v>0</v>
      </c>
      <c r="N204" s="2">
        <f>SUM(Table1910[[#This Row],[Inter School sports 1]:[Inter School sports 50]])</f>
        <v>0</v>
      </c>
      <c r="O204" s="64">
        <f>COUNTIF(Table1910[[#This Row],[Community club (type name of club(s). All clubs will count as ''1'']],"*")</f>
        <v>0</v>
      </c>
      <c r="P204" s="64">
        <f>IF(OR(Table1910[[#This Row],[Total Challenges]]&gt;0,Table1910[[#This Row],[Total Ex-C Clubs]]&gt;0,Table1910[[#This Row],[Total Intra-School Sports]]&gt;0,Table1910[[#This Row],[Total Inter-School Sports]]&gt;0,Table1910[[#This Row],[Community Clubs]]&gt;0),1,0)</f>
        <v>0</v>
      </c>
      <c r="HI204"/>
      <c r="HJ204" s="19"/>
    </row>
    <row r="205" spans="11:218" x14ac:dyDescent="0.25">
      <c r="K205" s="64">
        <f>SUM(Table1910[[#This Row],[Challenge 1]:[Challenge 50]])</f>
        <v>0</v>
      </c>
      <c r="L205" s="2">
        <f>SUM(Table1910[[#This Row],[Club 1]:[Club 50]])</f>
        <v>0</v>
      </c>
      <c r="M205" s="91">
        <f>SUM(Table1910[[#This Row],[Intra-school sports 1]:[Intra-school sports 50]])</f>
        <v>0</v>
      </c>
      <c r="N205" s="2">
        <f>SUM(Table1910[[#This Row],[Inter School sports 1]:[Inter School sports 50]])</f>
        <v>0</v>
      </c>
      <c r="O205" s="64">
        <f>COUNTIF(Table1910[[#This Row],[Community club (type name of club(s). All clubs will count as ''1'']],"*")</f>
        <v>0</v>
      </c>
      <c r="P205" s="64">
        <f>IF(OR(Table1910[[#This Row],[Total Challenges]]&gt;0,Table1910[[#This Row],[Total Ex-C Clubs]]&gt;0,Table1910[[#This Row],[Total Intra-School Sports]]&gt;0,Table1910[[#This Row],[Total Inter-School Sports]]&gt;0,Table1910[[#This Row],[Community Clubs]]&gt;0),1,0)</f>
        <v>0</v>
      </c>
      <c r="HI205"/>
      <c r="HJ205" s="19"/>
    </row>
    <row r="206" spans="11:218" x14ac:dyDescent="0.25">
      <c r="K206" s="64">
        <f>SUM(Table1910[[#This Row],[Challenge 1]:[Challenge 50]])</f>
        <v>0</v>
      </c>
      <c r="L206" s="2">
        <f>SUM(Table1910[[#This Row],[Club 1]:[Club 50]])</f>
        <v>0</v>
      </c>
      <c r="M206" s="91">
        <f>SUM(Table1910[[#This Row],[Intra-school sports 1]:[Intra-school sports 50]])</f>
        <v>0</v>
      </c>
      <c r="N206" s="2">
        <f>SUM(Table1910[[#This Row],[Inter School sports 1]:[Inter School sports 50]])</f>
        <v>0</v>
      </c>
      <c r="O206" s="64">
        <f>COUNTIF(Table1910[[#This Row],[Community club (type name of club(s). All clubs will count as ''1'']],"*")</f>
        <v>0</v>
      </c>
      <c r="P206" s="64">
        <f>IF(OR(Table1910[[#This Row],[Total Challenges]]&gt;0,Table1910[[#This Row],[Total Ex-C Clubs]]&gt;0,Table1910[[#This Row],[Total Intra-School Sports]]&gt;0,Table1910[[#This Row],[Total Inter-School Sports]]&gt;0,Table1910[[#This Row],[Community Clubs]]&gt;0),1,0)</f>
        <v>0</v>
      </c>
      <c r="HI206"/>
      <c r="HJ206" s="19"/>
    </row>
    <row r="207" spans="11:218" x14ac:dyDescent="0.25">
      <c r="K207" s="64">
        <f>SUM(Table1910[[#This Row],[Challenge 1]:[Challenge 50]])</f>
        <v>0</v>
      </c>
      <c r="L207" s="2">
        <f>SUM(Table1910[[#This Row],[Club 1]:[Club 50]])</f>
        <v>0</v>
      </c>
      <c r="M207" s="91">
        <f>SUM(Table1910[[#This Row],[Intra-school sports 1]:[Intra-school sports 50]])</f>
        <v>0</v>
      </c>
      <c r="N207" s="2">
        <f>SUM(Table1910[[#This Row],[Inter School sports 1]:[Inter School sports 50]])</f>
        <v>0</v>
      </c>
      <c r="O207" s="64">
        <f>COUNTIF(Table1910[[#This Row],[Community club (type name of club(s). All clubs will count as ''1'']],"*")</f>
        <v>0</v>
      </c>
      <c r="P207" s="64">
        <f>IF(OR(Table1910[[#This Row],[Total Challenges]]&gt;0,Table1910[[#This Row],[Total Ex-C Clubs]]&gt;0,Table1910[[#This Row],[Total Intra-School Sports]]&gt;0,Table1910[[#This Row],[Total Inter-School Sports]]&gt;0,Table1910[[#This Row],[Community Clubs]]&gt;0),1,0)</f>
        <v>0</v>
      </c>
      <c r="HI207"/>
      <c r="HJ207" s="19"/>
    </row>
    <row r="208" spans="11:218" x14ac:dyDescent="0.25">
      <c r="K208" s="64">
        <f>SUM(Table1910[[#This Row],[Challenge 1]:[Challenge 50]])</f>
        <v>0</v>
      </c>
      <c r="L208" s="2">
        <f>SUM(Table1910[[#This Row],[Club 1]:[Club 50]])</f>
        <v>0</v>
      </c>
      <c r="M208" s="91">
        <f>SUM(Table1910[[#This Row],[Intra-school sports 1]:[Intra-school sports 50]])</f>
        <v>0</v>
      </c>
      <c r="N208" s="2">
        <f>SUM(Table1910[[#This Row],[Inter School sports 1]:[Inter School sports 50]])</f>
        <v>0</v>
      </c>
      <c r="O208" s="64">
        <f>COUNTIF(Table1910[[#This Row],[Community club (type name of club(s). All clubs will count as ''1'']],"*")</f>
        <v>0</v>
      </c>
      <c r="P208" s="64">
        <f>IF(OR(Table1910[[#This Row],[Total Challenges]]&gt;0,Table1910[[#This Row],[Total Ex-C Clubs]]&gt;0,Table1910[[#This Row],[Total Intra-School Sports]]&gt;0,Table1910[[#This Row],[Total Inter-School Sports]]&gt;0,Table1910[[#This Row],[Community Clubs]]&gt;0),1,0)</f>
        <v>0</v>
      </c>
      <c r="HI208"/>
      <c r="HJ208" s="19"/>
    </row>
    <row r="209" spans="1:218" x14ac:dyDescent="0.25">
      <c r="K209" s="64">
        <f>SUM(Table1910[[#This Row],[Challenge 1]:[Challenge 50]])</f>
        <v>0</v>
      </c>
      <c r="L209" s="2">
        <f>SUM(Table1910[[#This Row],[Club 1]:[Club 50]])</f>
        <v>0</v>
      </c>
      <c r="M209" s="91">
        <f>SUM(Table1910[[#This Row],[Intra-school sports 1]:[Intra-school sports 50]])</f>
        <v>0</v>
      </c>
      <c r="N209" s="2">
        <f>SUM(Table1910[[#This Row],[Inter School sports 1]:[Inter School sports 50]])</f>
        <v>0</v>
      </c>
      <c r="O209" s="64">
        <f>COUNTIF(Table1910[[#This Row],[Community club (type name of club(s). All clubs will count as ''1'']],"*")</f>
        <v>0</v>
      </c>
      <c r="P209" s="64">
        <f>IF(OR(Table1910[[#This Row],[Total Challenges]]&gt;0,Table1910[[#This Row],[Total Ex-C Clubs]]&gt;0,Table1910[[#This Row],[Total Intra-School Sports]]&gt;0,Table1910[[#This Row],[Total Inter-School Sports]]&gt;0,Table1910[[#This Row],[Community Clubs]]&gt;0),1,0)</f>
        <v>0</v>
      </c>
      <c r="HI209"/>
      <c r="HJ209" s="19"/>
    </row>
    <row r="210" spans="1:218" x14ac:dyDescent="0.25">
      <c r="K210" s="64">
        <f>SUM(Table1910[[#This Row],[Challenge 1]:[Challenge 50]])</f>
        <v>0</v>
      </c>
      <c r="L210" s="2">
        <f>SUM(Table1910[[#This Row],[Club 1]:[Club 50]])</f>
        <v>0</v>
      </c>
      <c r="M210" s="91">
        <f>SUM(Table1910[[#This Row],[Intra-school sports 1]:[Intra-school sports 50]])</f>
        <v>0</v>
      </c>
      <c r="N210" s="2">
        <f>SUM(Table1910[[#This Row],[Inter School sports 1]:[Inter School sports 50]])</f>
        <v>0</v>
      </c>
      <c r="O210" s="64">
        <f>COUNTIF(Table1910[[#This Row],[Community club (type name of club(s). All clubs will count as ''1'']],"*")</f>
        <v>0</v>
      </c>
      <c r="P210" s="64">
        <f>IF(OR(Table1910[[#This Row],[Total Challenges]]&gt;0,Table1910[[#This Row],[Total Ex-C Clubs]]&gt;0,Table1910[[#This Row],[Total Intra-School Sports]]&gt;0,Table1910[[#This Row],[Total Inter-School Sports]]&gt;0,Table1910[[#This Row],[Community Clubs]]&gt;0),1,0)</f>
        <v>0</v>
      </c>
      <c r="HI210"/>
      <c r="HJ210" s="19"/>
    </row>
    <row r="211" spans="1:218" x14ac:dyDescent="0.25">
      <c r="K211" s="64">
        <f>SUM(Table1910[[#This Row],[Challenge 1]:[Challenge 50]])</f>
        <v>0</v>
      </c>
      <c r="L211" s="2">
        <f>SUM(Table1910[[#This Row],[Club 1]:[Club 50]])</f>
        <v>0</v>
      </c>
      <c r="M211" s="91">
        <f>SUM(Table1910[[#This Row],[Intra-school sports 1]:[Intra-school sports 50]])</f>
        <v>0</v>
      </c>
      <c r="N211" s="2">
        <f>SUM(Table1910[[#This Row],[Inter School sports 1]:[Inter School sports 50]])</f>
        <v>0</v>
      </c>
      <c r="O211" s="64">
        <f>COUNTIF(Table1910[[#This Row],[Community club (type name of club(s). All clubs will count as ''1'']],"*")</f>
        <v>0</v>
      </c>
      <c r="P211" s="64">
        <f>IF(OR(Table1910[[#This Row],[Total Challenges]]&gt;0,Table1910[[#This Row],[Total Ex-C Clubs]]&gt;0,Table1910[[#This Row],[Total Intra-School Sports]]&gt;0,Table1910[[#This Row],[Total Inter-School Sports]]&gt;0,Table1910[[#This Row],[Community Clubs]]&gt;0),1,0)</f>
        <v>0</v>
      </c>
      <c r="HI211"/>
      <c r="HJ211" s="19"/>
    </row>
    <row r="212" spans="1:218" x14ac:dyDescent="0.25">
      <c r="K212" s="64">
        <f>SUM(Table1910[[#This Row],[Challenge 1]:[Challenge 50]])</f>
        <v>0</v>
      </c>
      <c r="L212" s="2">
        <f>SUM(Table1910[[#This Row],[Club 1]:[Club 50]])</f>
        <v>0</v>
      </c>
      <c r="M212" s="91">
        <f>SUM(Table1910[[#This Row],[Intra-school sports 1]:[Intra-school sports 50]])</f>
        <v>0</v>
      </c>
      <c r="N212" s="2">
        <f>SUM(Table1910[[#This Row],[Inter School sports 1]:[Inter School sports 50]])</f>
        <v>0</v>
      </c>
      <c r="O212" s="64">
        <f>COUNTIF(Table1910[[#This Row],[Community club (type name of club(s). All clubs will count as ''1'']],"*")</f>
        <v>0</v>
      </c>
      <c r="P212" s="64">
        <f>IF(OR(Table1910[[#This Row],[Total Challenges]]&gt;0,Table1910[[#This Row],[Total Ex-C Clubs]]&gt;0,Table1910[[#This Row],[Total Intra-School Sports]]&gt;0,Table1910[[#This Row],[Total Inter-School Sports]]&gt;0,Table1910[[#This Row],[Community Clubs]]&gt;0),1,0)</f>
        <v>0</v>
      </c>
      <c r="HI212"/>
      <c r="HJ212" s="19"/>
    </row>
    <row r="213" spans="1:218" x14ac:dyDescent="0.25">
      <c r="K213" s="64">
        <f>SUM(Table1910[[#This Row],[Challenge 1]:[Challenge 50]])</f>
        <v>0</v>
      </c>
      <c r="L213" s="2">
        <f>SUM(Table1910[[#This Row],[Club 1]:[Club 50]])</f>
        <v>0</v>
      </c>
      <c r="M213" s="91">
        <f>SUM(Table1910[[#This Row],[Intra-school sports 1]:[Intra-school sports 50]])</f>
        <v>0</v>
      </c>
      <c r="N213" s="2">
        <f>SUM(Table1910[[#This Row],[Inter School sports 1]:[Inter School sports 50]])</f>
        <v>0</v>
      </c>
      <c r="O213" s="64">
        <f>COUNTIF(Table1910[[#This Row],[Community club (type name of club(s). All clubs will count as ''1'']],"*")</f>
        <v>0</v>
      </c>
      <c r="P213" s="64">
        <f>IF(OR(Table1910[[#This Row],[Total Challenges]]&gt;0,Table1910[[#This Row],[Total Ex-C Clubs]]&gt;0,Table1910[[#This Row],[Total Intra-School Sports]]&gt;0,Table1910[[#This Row],[Total Inter-School Sports]]&gt;0,Table1910[[#This Row],[Community Clubs]]&gt;0),1,0)</f>
        <v>0</v>
      </c>
      <c r="HI213"/>
      <c r="HJ213" s="19"/>
    </row>
    <row r="214" spans="1:218" x14ac:dyDescent="0.25">
      <c r="K214" s="64">
        <f>SUM(Table1910[[#This Row],[Challenge 1]:[Challenge 50]])</f>
        <v>0</v>
      </c>
      <c r="L214" s="2">
        <f>SUM(Table1910[[#This Row],[Club 1]:[Club 50]])</f>
        <v>0</v>
      </c>
      <c r="M214" s="91">
        <f>SUM(Table1910[[#This Row],[Intra-school sports 1]:[Intra-school sports 50]])</f>
        <v>0</v>
      </c>
      <c r="N214" s="2">
        <f>SUM(Table1910[[#This Row],[Inter School sports 1]:[Inter School sports 50]])</f>
        <v>0</v>
      </c>
      <c r="O214" s="64">
        <f>COUNTIF(Table1910[[#This Row],[Community club (type name of club(s). All clubs will count as ''1'']],"*")</f>
        <v>0</v>
      </c>
      <c r="P214" s="64">
        <f>IF(OR(Table1910[[#This Row],[Total Challenges]]&gt;0,Table1910[[#This Row],[Total Ex-C Clubs]]&gt;0,Table1910[[#This Row],[Total Intra-School Sports]]&gt;0,Table1910[[#This Row],[Total Inter-School Sports]]&gt;0,Table1910[[#This Row],[Community Clubs]]&gt;0),1,0)</f>
        <v>0</v>
      </c>
      <c r="HI214"/>
      <c r="HJ214" s="19"/>
    </row>
    <row r="215" spans="1:218" x14ac:dyDescent="0.25">
      <c r="K215" s="64">
        <f>SUM(Table1910[[#This Row],[Challenge 1]:[Challenge 50]])</f>
        <v>0</v>
      </c>
      <c r="L215" s="2">
        <f>SUM(Table1910[[#This Row],[Club 1]:[Club 50]])</f>
        <v>0</v>
      </c>
      <c r="M215" s="91">
        <f>SUM(Table1910[[#This Row],[Intra-school sports 1]:[Intra-school sports 50]])</f>
        <v>0</v>
      </c>
      <c r="N215" s="2">
        <f>SUM(Table1910[[#This Row],[Inter School sports 1]:[Inter School sports 50]])</f>
        <v>0</v>
      </c>
      <c r="O215" s="64">
        <f>COUNTIF(Table1910[[#This Row],[Community club (type name of club(s). All clubs will count as ''1'']],"*")</f>
        <v>0</v>
      </c>
      <c r="P215" s="64">
        <f>IF(OR(Table1910[[#This Row],[Total Challenges]]&gt;0,Table1910[[#This Row],[Total Ex-C Clubs]]&gt;0,Table1910[[#This Row],[Total Intra-School Sports]]&gt;0,Table1910[[#This Row],[Total Inter-School Sports]]&gt;0,Table1910[[#This Row],[Community Clubs]]&gt;0),1,0)</f>
        <v>0</v>
      </c>
      <c r="HI215"/>
      <c r="HJ215" s="19"/>
    </row>
    <row r="216" spans="1:218" x14ac:dyDescent="0.25">
      <c r="K216" s="64">
        <f>SUM(Table1910[[#This Row],[Challenge 1]:[Challenge 50]])</f>
        <v>0</v>
      </c>
      <c r="L216" s="2">
        <f>SUM(Table1910[[#This Row],[Club 1]:[Club 50]])</f>
        <v>0</v>
      </c>
      <c r="M216" s="91">
        <f>SUM(Table1910[[#This Row],[Intra-school sports 1]:[Intra-school sports 50]])</f>
        <v>0</v>
      </c>
      <c r="N216" s="2">
        <f>SUM(Table1910[[#This Row],[Inter School sports 1]:[Inter School sports 50]])</f>
        <v>0</v>
      </c>
      <c r="O216" s="64">
        <f>COUNTIF(Table1910[[#This Row],[Community club (type name of club(s). All clubs will count as ''1'']],"*")</f>
        <v>0</v>
      </c>
      <c r="P216" s="64">
        <f>IF(OR(Table1910[[#This Row],[Total Challenges]]&gt;0,Table1910[[#This Row],[Total Ex-C Clubs]]&gt;0,Table1910[[#This Row],[Total Intra-School Sports]]&gt;0,Table1910[[#This Row],[Total Inter-School Sports]]&gt;0,Table1910[[#This Row],[Community Clubs]]&gt;0),1,0)</f>
        <v>0</v>
      </c>
      <c r="HI216"/>
      <c r="HJ216" s="19"/>
    </row>
    <row r="217" spans="1:218" x14ac:dyDescent="0.25">
      <c r="K217" s="64">
        <f>SUM(Table1910[[#This Row],[Challenge 1]:[Challenge 50]])</f>
        <v>0</v>
      </c>
      <c r="L217" s="2">
        <f>SUM(Table1910[[#This Row],[Club 1]:[Club 50]])</f>
        <v>0</v>
      </c>
      <c r="M217" s="91">
        <f>SUM(Table1910[[#This Row],[Intra-school sports 1]:[Intra-school sports 50]])</f>
        <v>0</v>
      </c>
      <c r="N217" s="2">
        <f>SUM(Table1910[[#This Row],[Inter School sports 1]:[Inter School sports 50]])</f>
        <v>0</v>
      </c>
      <c r="O217" s="64">
        <f>COUNTIF(Table1910[[#This Row],[Community club (type name of club(s). All clubs will count as ''1'']],"*")</f>
        <v>0</v>
      </c>
      <c r="P217" s="64">
        <f>IF(OR(Table1910[[#This Row],[Total Challenges]]&gt;0,Table1910[[#This Row],[Total Ex-C Clubs]]&gt;0,Table1910[[#This Row],[Total Intra-School Sports]]&gt;0,Table1910[[#This Row],[Total Inter-School Sports]]&gt;0,Table1910[[#This Row],[Community Clubs]]&gt;0),1,0)</f>
        <v>0</v>
      </c>
      <c r="HI217"/>
      <c r="HJ217" s="19"/>
    </row>
    <row r="218" spans="1:218" x14ac:dyDescent="0.25">
      <c r="K218" s="64">
        <f>SUM(Table1910[[#This Row],[Challenge 1]:[Challenge 50]])</f>
        <v>0</v>
      </c>
      <c r="L218" s="2">
        <f>SUM(Table1910[[#This Row],[Club 1]:[Club 50]])</f>
        <v>0</v>
      </c>
      <c r="M218" s="91">
        <f>SUM(Table1910[[#This Row],[Intra-school sports 1]:[Intra-school sports 50]])</f>
        <v>0</v>
      </c>
      <c r="N218" s="2">
        <f>SUM(Table1910[[#This Row],[Inter School sports 1]:[Inter School sports 50]])</f>
        <v>0</v>
      </c>
      <c r="O218" s="64">
        <f>COUNTIF(Table1910[[#This Row],[Community club (type name of club(s). All clubs will count as ''1'']],"*")</f>
        <v>0</v>
      </c>
      <c r="P218" s="64">
        <f>IF(OR(Table1910[[#This Row],[Total Challenges]]&gt;0,Table1910[[#This Row],[Total Ex-C Clubs]]&gt;0,Table1910[[#This Row],[Total Intra-School Sports]]&gt;0,Table1910[[#This Row],[Total Inter-School Sports]]&gt;0,Table1910[[#This Row],[Community Clubs]]&gt;0),1,0)</f>
        <v>0</v>
      </c>
      <c r="HI218"/>
      <c r="HJ218" s="19"/>
    </row>
    <row r="219" spans="1:218" x14ac:dyDescent="0.25">
      <c r="K219" s="64">
        <f>SUM(Table1910[[#This Row],[Challenge 1]:[Challenge 50]])</f>
        <v>0</v>
      </c>
      <c r="L219" s="2">
        <f>SUM(Table1910[[#This Row],[Club 1]:[Club 50]])</f>
        <v>0</v>
      </c>
      <c r="M219" s="91">
        <f>SUM(Table1910[[#This Row],[Intra-school sports 1]:[Intra-school sports 50]])</f>
        <v>0</v>
      </c>
      <c r="N219" s="2">
        <f>SUM(Table1910[[#This Row],[Inter School sports 1]:[Inter School sports 50]])</f>
        <v>0</v>
      </c>
      <c r="O219" s="64">
        <f>COUNTIF(Table1910[[#This Row],[Community club (type name of club(s). All clubs will count as ''1'']],"*")</f>
        <v>0</v>
      </c>
      <c r="P219" s="64">
        <f>IF(OR(Table1910[[#This Row],[Total Challenges]]&gt;0,Table1910[[#This Row],[Total Ex-C Clubs]]&gt;0,Table1910[[#This Row],[Total Intra-School Sports]]&gt;0,Table1910[[#This Row],[Total Inter-School Sports]]&gt;0,Table1910[[#This Row],[Community Clubs]]&gt;0),1,0)</f>
        <v>0</v>
      </c>
      <c r="HI219"/>
      <c r="HJ219" s="19"/>
    </row>
    <row r="220" spans="1:218" x14ac:dyDescent="0.25">
      <c r="K220" s="64">
        <f>SUM(Table1910[[#This Row],[Challenge 1]:[Challenge 50]])</f>
        <v>0</v>
      </c>
      <c r="L220" s="2">
        <f>SUM(Table1910[[#This Row],[Club 1]:[Club 50]])</f>
        <v>0</v>
      </c>
      <c r="M220" s="91">
        <f>SUM(Table1910[[#This Row],[Intra-school sports 1]:[Intra-school sports 50]])</f>
        <v>0</v>
      </c>
      <c r="N220" s="2">
        <f>SUM(Table1910[[#This Row],[Inter School sports 1]:[Inter School sports 50]])</f>
        <v>0</v>
      </c>
      <c r="O220" s="64">
        <f>COUNTIF(Table1910[[#This Row],[Community club (type name of club(s). All clubs will count as ''1'']],"*")</f>
        <v>0</v>
      </c>
      <c r="P220" s="64">
        <f>IF(OR(Table1910[[#This Row],[Total Challenges]]&gt;0,Table1910[[#This Row],[Total Ex-C Clubs]]&gt;0,Table1910[[#This Row],[Total Intra-School Sports]]&gt;0,Table1910[[#This Row],[Total Inter-School Sports]]&gt;0,Table1910[[#This Row],[Community Clubs]]&gt;0),1,0)</f>
        <v>0</v>
      </c>
      <c r="HI220"/>
      <c r="HJ220" s="19"/>
    </row>
    <row r="221" spans="1:218" x14ac:dyDescent="0.25">
      <c r="A221" t="s">
        <v>57</v>
      </c>
      <c r="E221">
        <f>SUBTOTAL(109,Table1910[FSM / PP])</f>
        <v>1</v>
      </c>
      <c r="F221">
        <f>SUBTOTAL(109,Table1910[Ethnically Diverse])</f>
        <v>2</v>
      </c>
      <c r="G221">
        <f>SUBTOTAL(109,Table1910[EAL])</f>
        <v>3</v>
      </c>
      <c r="H221">
        <f>SUBTOTAL(109,Table1910[SEN])</f>
        <v>4</v>
      </c>
      <c r="I221">
        <f>SUBTOTAL(109,Table1910[Young Leader])</f>
        <v>1</v>
      </c>
      <c r="J221">
        <f>SUBTOTAL(109,Table1910[Least active])</f>
        <v>1</v>
      </c>
      <c r="K221">
        <f>SUBTOTAL(109,Table1910[Total Challenges])</f>
        <v>5</v>
      </c>
      <c r="L221" s="92">
        <f>SUBTOTAL(109,Table1910[Total Ex-C Clubs])</f>
        <v>1</v>
      </c>
      <c r="M221" s="93">
        <f>SUBTOTAL(109,Table1910[Total Intra-School Sports])</f>
        <v>0</v>
      </c>
      <c r="N221" s="92">
        <f>SUBTOTAL(109,Table1910[Total Inter-School Sports])</f>
        <v>1</v>
      </c>
      <c r="O221" s="65">
        <f>SUBTOTAL(109,Table1910[Community Clubs])</f>
        <v>0</v>
      </c>
      <c r="P221" s="65">
        <f>SUBTOTAL(109,Table1910[Active Opportunity])</f>
        <v>4</v>
      </c>
      <c r="Q221">
        <f>SUBTOTAL(109,Table1910[Challenge 1])</f>
        <v>4</v>
      </c>
      <c r="R221">
        <f>SUBTOTAL(109,Table1910[Challenge 2])</f>
        <v>0</v>
      </c>
      <c r="S221">
        <f>SUBTOTAL(109,Table1910[Challenge 3])</f>
        <v>1</v>
      </c>
      <c r="T221">
        <f>SUBTOTAL(109,Table1910[Challenge 4])</f>
        <v>0</v>
      </c>
      <c r="U221">
        <f>SUBTOTAL(109,Table1910[Challenge 5])</f>
        <v>0</v>
      </c>
      <c r="V221">
        <f>SUBTOTAL(109,Table1910[Challenge 6])</f>
        <v>0</v>
      </c>
      <c r="W221">
        <f>SUBTOTAL(109,Table1910[Challenge 7])</f>
        <v>0</v>
      </c>
      <c r="X221">
        <f>SUBTOTAL(109,Table1910[Challenge 8])</f>
        <v>0</v>
      </c>
      <c r="Y221">
        <f>SUBTOTAL(109,Table1910[Challenge 9])</f>
        <v>0</v>
      </c>
      <c r="Z221">
        <f>SUBTOTAL(109,Table1910[Challenge 10])</f>
        <v>0</v>
      </c>
      <c r="AA221">
        <f>SUBTOTAL(109,Table1910[Challenge 11])</f>
        <v>0</v>
      </c>
      <c r="AB221">
        <f>SUBTOTAL(109,Table1910[Challenge 12])</f>
        <v>0</v>
      </c>
      <c r="AC221">
        <f>SUBTOTAL(109,Table1910[Challenge 13])</f>
        <v>0</v>
      </c>
      <c r="AD221">
        <f>SUBTOTAL(109,Table1910[Challenge 14])</f>
        <v>0</v>
      </c>
      <c r="AE221">
        <f>SUBTOTAL(109,Table1910[Challenge 15])</f>
        <v>0</v>
      </c>
      <c r="AF221">
        <f>SUBTOTAL(109,Table1910[Challenge 16])</f>
        <v>0</v>
      </c>
      <c r="AG221">
        <f>SUBTOTAL(109,Table1910[Challenge 17])</f>
        <v>0</v>
      </c>
      <c r="AH221">
        <f>SUBTOTAL(109,Table1910[Challenge 18])</f>
        <v>0</v>
      </c>
      <c r="AI221">
        <f>SUBTOTAL(109,Table1910[Challenge 19])</f>
        <v>0</v>
      </c>
      <c r="AJ221">
        <f>SUBTOTAL(109,Table1910[Challenge 20])</f>
        <v>0</v>
      </c>
      <c r="AK221">
        <f>SUBTOTAL(109,Table1910[Challenge 21])</f>
        <v>0</v>
      </c>
      <c r="AL221">
        <f>SUBTOTAL(109,Table1910[Challenge 22])</f>
        <v>0</v>
      </c>
      <c r="AM221">
        <f>SUBTOTAL(109,Table1910[Challenge 23])</f>
        <v>0</v>
      </c>
      <c r="AN221">
        <f>SUBTOTAL(109,Table1910[Challenge 24])</f>
        <v>0</v>
      </c>
      <c r="AO221">
        <f>SUBTOTAL(109,Table1910[Challenge 25])</f>
        <v>0</v>
      </c>
      <c r="AP221">
        <f>SUBTOTAL(109,Table1910[Challenge 26])</f>
        <v>0</v>
      </c>
      <c r="AQ221">
        <f>SUBTOTAL(109,Table1910[Challenge 27])</f>
        <v>0</v>
      </c>
      <c r="AR221">
        <f>SUBTOTAL(109,Table1910[Challenge 28])</f>
        <v>0</v>
      </c>
      <c r="AS221">
        <f>SUBTOTAL(109,Table1910[Challenge 29])</f>
        <v>0</v>
      </c>
      <c r="AT221">
        <f>SUBTOTAL(109,Table1910[Challenge 30])</f>
        <v>0</v>
      </c>
      <c r="AU221">
        <f>SUBTOTAL(109,Table1910[Challenge 31])</f>
        <v>0</v>
      </c>
      <c r="AV221">
        <f>SUBTOTAL(109,Table1910[Challenge 32])</f>
        <v>0</v>
      </c>
      <c r="AW221">
        <f>SUBTOTAL(109,Table1910[Challenge 33])</f>
        <v>0</v>
      </c>
      <c r="AX221">
        <f>SUBTOTAL(109,Table1910[Challenge 34])</f>
        <v>0</v>
      </c>
      <c r="AY221">
        <f>SUBTOTAL(109,Table1910[Challenge 35])</f>
        <v>0</v>
      </c>
      <c r="AZ221">
        <f>SUBTOTAL(109,Table1910[Challenge 36])</f>
        <v>0</v>
      </c>
      <c r="BA221">
        <f>SUBTOTAL(109,Table1910[Challenge 37])</f>
        <v>0</v>
      </c>
      <c r="BB221">
        <f>SUBTOTAL(109,Table1910[Challenge 38])</f>
        <v>0</v>
      </c>
      <c r="BC221">
        <f>SUBTOTAL(109,Table1910[Challenge 39])</f>
        <v>0</v>
      </c>
      <c r="BD221">
        <f>SUBTOTAL(109,Table1910[Challenge 40])</f>
        <v>0</v>
      </c>
      <c r="BE221">
        <f>SUBTOTAL(109,Table1910[Challenge 41])</f>
        <v>0</v>
      </c>
      <c r="BF221">
        <f>SUBTOTAL(109,Table1910[Challenge 42])</f>
        <v>0</v>
      </c>
      <c r="BG221">
        <f>SUBTOTAL(109,Table1910[Challenge 43])</f>
        <v>0</v>
      </c>
      <c r="BH221">
        <f>SUBTOTAL(109,Table1910[Challenge 44])</f>
        <v>0</v>
      </c>
      <c r="BI221">
        <f>SUBTOTAL(109,Table1910[Challenge 45])</f>
        <v>0</v>
      </c>
      <c r="BJ221">
        <f>SUBTOTAL(109,Table1910[Challenge 46])</f>
        <v>0</v>
      </c>
      <c r="BK221">
        <f>SUBTOTAL(109,Table1910[Challenge 47])</f>
        <v>0</v>
      </c>
      <c r="BL221">
        <f>SUBTOTAL(109,Table1910[Challenge 48])</f>
        <v>0</v>
      </c>
      <c r="BM221">
        <f>SUBTOTAL(109,Table1910[Challenge 49])</f>
        <v>0</v>
      </c>
      <c r="BN221">
        <f>SUBTOTAL(109,Table1910[Challenge 50])</f>
        <v>0</v>
      </c>
      <c r="BO221">
        <f>SUBTOTAL(109,Table1910[Club 1])</f>
        <v>0</v>
      </c>
      <c r="BP221">
        <f>SUBTOTAL(109,Table1910[Club 2])</f>
        <v>0</v>
      </c>
      <c r="BQ221">
        <f>SUBTOTAL(109,Table1910[Club 3])</f>
        <v>1</v>
      </c>
      <c r="BR221">
        <f>SUBTOTAL(109,Table1910[Club 4])</f>
        <v>0</v>
      </c>
      <c r="BS221">
        <f>SUBTOTAL(109,Table1910[Club 5])</f>
        <v>0</v>
      </c>
      <c r="BT221">
        <f>SUBTOTAL(109,Table1910[Club 6])</f>
        <v>0</v>
      </c>
      <c r="BU221">
        <f>SUBTOTAL(109,Table1910[Club 7])</f>
        <v>0</v>
      </c>
      <c r="BV221">
        <f>SUBTOTAL(109,Table1910[Club 8])</f>
        <v>0</v>
      </c>
      <c r="BW221">
        <f>SUBTOTAL(109,Table1910[Club 9])</f>
        <v>0</v>
      </c>
      <c r="BX221">
        <f>SUBTOTAL(109,Table1910[Club 10])</f>
        <v>0</v>
      </c>
      <c r="BY221">
        <f>SUBTOTAL(109,Table1910[Club 11])</f>
        <v>0</v>
      </c>
      <c r="BZ221">
        <f>SUBTOTAL(109,Table1910[Club 12])</f>
        <v>0</v>
      </c>
      <c r="CA221">
        <f>SUBTOTAL(109,Table1910[Club 13])</f>
        <v>0</v>
      </c>
      <c r="CB221">
        <f>SUBTOTAL(109,Table1910[Club 14])</f>
        <v>0</v>
      </c>
      <c r="CC221">
        <f>SUBTOTAL(109,Table1910[Club 15])</f>
        <v>0</v>
      </c>
      <c r="CD221">
        <f>SUBTOTAL(109,Table1910[Club 16])</f>
        <v>0</v>
      </c>
      <c r="CE221">
        <f>SUBTOTAL(109,Table1910[Club 17])</f>
        <v>0</v>
      </c>
      <c r="CF221">
        <f>SUBTOTAL(109,Table1910[Club 18])</f>
        <v>0</v>
      </c>
      <c r="CG221">
        <f>SUBTOTAL(109,Table1910[Club 19])</f>
        <v>0</v>
      </c>
      <c r="CH221">
        <f>SUBTOTAL(109,Table1910[Club 20])</f>
        <v>0</v>
      </c>
      <c r="CI221">
        <f>SUBTOTAL(109,Table1910[Club 21])</f>
        <v>0</v>
      </c>
      <c r="CJ221">
        <f>SUBTOTAL(109,Table1910[Club 22])</f>
        <v>0</v>
      </c>
      <c r="CK221">
        <f>SUBTOTAL(109,Table1910[Club 23])</f>
        <v>0</v>
      </c>
      <c r="CL221">
        <f>SUBTOTAL(109,Table1910[Club 24])</f>
        <v>0</v>
      </c>
      <c r="CM221">
        <f>SUBTOTAL(109,Table1910[Club 25])</f>
        <v>0</v>
      </c>
      <c r="CN221">
        <f>SUBTOTAL(109,Table1910[Club 26])</f>
        <v>0</v>
      </c>
      <c r="CO221">
        <f>SUBTOTAL(109,Table1910[Club 27])</f>
        <v>0</v>
      </c>
      <c r="CP221">
        <f>SUBTOTAL(109,Table1910[Club 28])</f>
        <v>0</v>
      </c>
      <c r="CQ221">
        <f>SUBTOTAL(109,Table1910[Club 29])</f>
        <v>0</v>
      </c>
      <c r="CR221">
        <f>SUBTOTAL(109,Table1910[Club 30])</f>
        <v>0</v>
      </c>
      <c r="CS221">
        <f>SUBTOTAL(109,Table1910[Club 31])</f>
        <v>0</v>
      </c>
      <c r="CT221">
        <f>SUBTOTAL(109,Table1910[Club 32])</f>
        <v>0</v>
      </c>
      <c r="CU221">
        <f>SUBTOTAL(109,Table1910[Club 33])</f>
        <v>0</v>
      </c>
      <c r="CV221">
        <f>SUBTOTAL(109,Table1910[Club 34])</f>
        <v>0</v>
      </c>
      <c r="CW221">
        <f>SUBTOTAL(109,Table1910[Club 35])</f>
        <v>0</v>
      </c>
      <c r="CX221">
        <f>SUBTOTAL(109,Table1910[Club 36])</f>
        <v>0</v>
      </c>
      <c r="CY221">
        <f>SUBTOTAL(109,Table1910[Club 37])</f>
        <v>0</v>
      </c>
      <c r="CZ221">
        <f>SUBTOTAL(109,Table1910[Club 38])</f>
        <v>0</v>
      </c>
      <c r="DA221">
        <f>SUBTOTAL(109,Table1910[Club 39])</f>
        <v>0</v>
      </c>
      <c r="DB221">
        <f>SUBTOTAL(109,Table1910[Club 40])</f>
        <v>0</v>
      </c>
      <c r="DC221">
        <f>SUBTOTAL(109,Table1910[Club 41])</f>
        <v>0</v>
      </c>
      <c r="DD221">
        <f>SUBTOTAL(109,Table1910[Club 42])</f>
        <v>0</v>
      </c>
      <c r="DE221">
        <f>SUBTOTAL(109,Table1910[Club 43])</f>
        <v>0</v>
      </c>
      <c r="DF221">
        <f>SUBTOTAL(109,Table1910[Club 44])</f>
        <v>0</v>
      </c>
      <c r="DG221">
        <f>SUBTOTAL(109,Table1910[Club 45])</f>
        <v>0</v>
      </c>
      <c r="DH221">
        <f>SUBTOTAL(109,Table1910[Club 46])</f>
        <v>0</v>
      </c>
      <c r="DI221">
        <f>SUBTOTAL(109,Table1910[Club 47])</f>
        <v>0</v>
      </c>
      <c r="DJ221">
        <f>SUBTOTAL(109,Table1910[Club 48])</f>
        <v>0</v>
      </c>
      <c r="DK221">
        <f>SUBTOTAL(109,Table1910[Club 49])</f>
        <v>0</v>
      </c>
      <c r="DL221">
        <f>SUBTOTAL(109,Table1910[Club 50])</f>
        <v>0</v>
      </c>
      <c r="DM221">
        <f>SUBTOTAL(109,Table1910[Intra-school sports 1])</f>
        <v>0</v>
      </c>
      <c r="DN221">
        <f>SUBTOTAL(109,Table1910[Intra-school sports 2])</f>
        <v>0</v>
      </c>
      <c r="DO221">
        <f>SUBTOTAL(109,Table1910[Intra-school sports 3])</f>
        <v>0</v>
      </c>
      <c r="DP221">
        <f>SUBTOTAL(109,Table1910[Intra-school sports 4])</f>
        <v>0</v>
      </c>
      <c r="DQ221">
        <f>SUBTOTAL(109,Table1910[Intra-school sports 5])</f>
        <v>0</v>
      </c>
      <c r="DR221">
        <f>SUBTOTAL(109,Table1910[Intra-school sports 6])</f>
        <v>0</v>
      </c>
      <c r="DS221">
        <f>SUBTOTAL(109,Table1910[Intra-school sports 7])</f>
        <v>0</v>
      </c>
      <c r="DT221">
        <f>SUBTOTAL(109,Table1910[Intra-school sports 8])</f>
        <v>0</v>
      </c>
      <c r="DU221">
        <f>SUBTOTAL(109,Table1910[Intra-school sports 9])</f>
        <v>0</v>
      </c>
      <c r="DV221">
        <f>SUBTOTAL(109,Table1910[Intra-school sports 10])</f>
        <v>0</v>
      </c>
      <c r="DW221">
        <f>SUBTOTAL(109,Table1910[Intra-school sports 11])</f>
        <v>0</v>
      </c>
      <c r="DX221">
        <f>SUBTOTAL(109,Table1910[Intra-school sports 12])</f>
        <v>0</v>
      </c>
      <c r="DY221">
        <f>SUBTOTAL(109,Table1910[Intra-school sports 13])</f>
        <v>0</v>
      </c>
      <c r="DZ221">
        <f>SUBTOTAL(109,Table1910[Intra-school sports 14])</f>
        <v>0</v>
      </c>
      <c r="EA221">
        <f>SUBTOTAL(109,Table1910[Intra-school sports 15])</f>
        <v>0</v>
      </c>
      <c r="EB221">
        <f>SUBTOTAL(109,Table1910[Intra-school sports 16])</f>
        <v>0</v>
      </c>
      <c r="EC221">
        <f>SUBTOTAL(109,Table1910[Intra-school sports 17])</f>
        <v>0</v>
      </c>
      <c r="ED221">
        <f>SUBTOTAL(109,Table1910[Intra-school sports 18])</f>
        <v>0</v>
      </c>
      <c r="EE221">
        <f>SUBTOTAL(109,Table1910[Intra-school sports 19])</f>
        <v>0</v>
      </c>
      <c r="EF221">
        <f>SUBTOTAL(109,Table1910[Intra-school sports 20])</f>
        <v>0</v>
      </c>
      <c r="EG221">
        <f>SUBTOTAL(109,Table1910[Intra-school sports 21])</f>
        <v>0</v>
      </c>
      <c r="EH221">
        <f>SUBTOTAL(109,Table1910[Intra-school sports 22])</f>
        <v>0</v>
      </c>
      <c r="EI221">
        <f>SUBTOTAL(109,Table1910[Intra-school sports 23])</f>
        <v>0</v>
      </c>
      <c r="EJ221">
        <f>SUBTOTAL(109,Table1910[Intra-school sports 24])</f>
        <v>0</v>
      </c>
      <c r="EK221">
        <f>SUBTOTAL(109,Table1910[Intra-school sports 25])</f>
        <v>0</v>
      </c>
      <c r="EL221">
        <f>SUBTOTAL(109,Table1910[Intra-school sports 26])</f>
        <v>0</v>
      </c>
      <c r="EM221">
        <f>SUBTOTAL(109,Table1910[Intra-school sports 27])</f>
        <v>0</v>
      </c>
      <c r="EN221">
        <f>SUBTOTAL(109,Table1910[Intra-school sports 28])</f>
        <v>0</v>
      </c>
      <c r="EO221">
        <f>SUBTOTAL(109,Table1910[Intra-school sports 29])</f>
        <v>0</v>
      </c>
      <c r="EP221">
        <f>SUBTOTAL(109,Table1910[Intra-school sports 30])</f>
        <v>0</v>
      </c>
      <c r="EQ221">
        <f>SUBTOTAL(109,Table1910[Intra-school sports 31])</f>
        <v>0</v>
      </c>
      <c r="ER221">
        <f>SUBTOTAL(109,Table1910[Intra-school sports 32])</f>
        <v>0</v>
      </c>
      <c r="ES221">
        <f>SUBTOTAL(109,Table1910[Intra-school sports 33])</f>
        <v>0</v>
      </c>
      <c r="ET221">
        <f>SUBTOTAL(109,Table1910[Intra-school sports 34])</f>
        <v>0</v>
      </c>
      <c r="EU221">
        <f>SUBTOTAL(109,Table1910[Intra-school sports 35])</f>
        <v>0</v>
      </c>
      <c r="EV221">
        <f>SUBTOTAL(109,Table1910[Intra-school sports 36])</f>
        <v>0</v>
      </c>
      <c r="EW221">
        <f>SUBTOTAL(109,Table1910[Intra-school sports 37])</f>
        <v>0</v>
      </c>
      <c r="EX221">
        <f>SUBTOTAL(109,Table1910[Intra-school sports 38])</f>
        <v>0</v>
      </c>
      <c r="EY221">
        <f>SUBTOTAL(109,Table1910[Intra-school sports 39])</f>
        <v>0</v>
      </c>
      <c r="EZ221">
        <f>SUBTOTAL(109,Table1910[Intra-school sports 40])</f>
        <v>0</v>
      </c>
      <c r="FA221">
        <f>SUBTOTAL(109,Table1910[Intra-school sports 41])</f>
        <v>0</v>
      </c>
      <c r="FB221">
        <f>SUBTOTAL(109,Table1910[Intra-school sports 42])</f>
        <v>0</v>
      </c>
      <c r="FC221">
        <f>SUBTOTAL(109,Table1910[Intra-school sports 43])</f>
        <v>0</v>
      </c>
      <c r="FD221">
        <f>SUBTOTAL(109,Table1910[Intra-school sports 44])</f>
        <v>0</v>
      </c>
      <c r="FE221">
        <f>SUBTOTAL(109,Table1910[Intra-school sports 45])</f>
        <v>0</v>
      </c>
      <c r="FF221">
        <f>SUBTOTAL(109,Table1910[Intra-school sports 46])</f>
        <v>0</v>
      </c>
      <c r="FG221">
        <f>SUBTOTAL(109,Table1910[Intra-school sports 47])</f>
        <v>0</v>
      </c>
      <c r="FH221">
        <f>SUBTOTAL(109,Table1910[Intra-school sports 48])</f>
        <v>0</v>
      </c>
      <c r="FI221">
        <f>SUBTOTAL(109,Table1910[Intra-school sports 49])</f>
        <v>0</v>
      </c>
      <c r="FJ221">
        <f>SUBTOTAL(109,Table1910[Intra-school sports 50])</f>
        <v>0</v>
      </c>
      <c r="FK221">
        <f>SUBTOTAL(109,Table1910[Inter School sports 1])</f>
        <v>1</v>
      </c>
      <c r="FL221">
        <f>SUBTOTAL(109,Table1910[Inter School sports 2])</f>
        <v>0</v>
      </c>
      <c r="FM221">
        <f>SUBTOTAL(109,Table1910[Inter School sports 3])</f>
        <v>0</v>
      </c>
      <c r="FN221">
        <f>SUBTOTAL(109,Table1910[Inter School sports 4])</f>
        <v>0</v>
      </c>
      <c r="FO221">
        <f>SUBTOTAL(109,Table1910[Inter School sports 5])</f>
        <v>0</v>
      </c>
      <c r="FP221">
        <f>SUBTOTAL(109,Table1910[Inter School sports 6])</f>
        <v>0</v>
      </c>
      <c r="FQ221">
        <f>SUBTOTAL(109,Table1910[Inter School sports 7])</f>
        <v>0</v>
      </c>
      <c r="FR221">
        <f>SUBTOTAL(109,Table1910[Inter School sports 8])</f>
        <v>0</v>
      </c>
      <c r="FS221">
        <f>SUBTOTAL(109,Table1910[Inter School sports 9])</f>
        <v>0</v>
      </c>
      <c r="FT221">
        <f>SUBTOTAL(109,Table1910[Inter School sports 10])</f>
        <v>0</v>
      </c>
      <c r="FU221">
        <f>SUBTOTAL(109,Table1910[Inter School sports 11])</f>
        <v>0</v>
      </c>
      <c r="FV221">
        <f>SUBTOTAL(109,Table1910[Inter School sports 12])</f>
        <v>0</v>
      </c>
      <c r="FW221">
        <f>SUBTOTAL(109,Table1910[Inter School sports 13])</f>
        <v>0</v>
      </c>
      <c r="FX221">
        <f>SUBTOTAL(109,Table1910[Inter School sports 14])</f>
        <v>0</v>
      </c>
      <c r="FY221">
        <f>SUBTOTAL(109,Table1910[Inter School sports 15])</f>
        <v>0</v>
      </c>
      <c r="FZ221">
        <f>SUBTOTAL(109,Table1910[Inter School sports 16])</f>
        <v>0</v>
      </c>
      <c r="GA221">
        <f>SUBTOTAL(109,Table1910[Inter School sports 17])</f>
        <v>0</v>
      </c>
      <c r="GB221">
        <f>SUBTOTAL(109,Table1910[Inter School sports 18])</f>
        <v>0</v>
      </c>
      <c r="GC221">
        <f>SUBTOTAL(109,Table1910[Inter School sports 19])</f>
        <v>0</v>
      </c>
      <c r="GD221">
        <f>SUBTOTAL(109,Table1910[Inter School sports 20])</f>
        <v>0</v>
      </c>
      <c r="GE221">
        <f>SUBTOTAL(109,Table1910[Inter School sports 21])</f>
        <v>0</v>
      </c>
      <c r="GF221">
        <f>SUBTOTAL(109,Table1910[Inter School sports 22])</f>
        <v>0</v>
      </c>
      <c r="GG221">
        <f>SUBTOTAL(109,Table1910[Inter School sports 23])</f>
        <v>0</v>
      </c>
      <c r="GH221">
        <f>SUBTOTAL(109,Table1910[Inter School sports 24])</f>
        <v>0</v>
      </c>
      <c r="GI221">
        <f>SUBTOTAL(109,Table1910[Inter School sports 25])</f>
        <v>0</v>
      </c>
      <c r="GJ221">
        <f>SUBTOTAL(109,Table1910[Inter School sports 26])</f>
        <v>0</v>
      </c>
      <c r="GK221">
        <f>SUBTOTAL(109,Table1910[Inter School sports 27])</f>
        <v>0</v>
      </c>
      <c r="GL221">
        <f>SUBTOTAL(109,Table1910[Inter School sports 28])</f>
        <v>0</v>
      </c>
      <c r="GM221">
        <f>SUBTOTAL(109,Table1910[Inter School sports 29])</f>
        <v>0</v>
      </c>
      <c r="GN221">
        <f>SUBTOTAL(109,Table1910[Inter School sports 30])</f>
        <v>0</v>
      </c>
      <c r="GO221">
        <f>SUBTOTAL(109,Table1910[Inter School sports 31])</f>
        <v>0</v>
      </c>
      <c r="GP221">
        <f>SUBTOTAL(109,Table1910[Inter School sports 32])</f>
        <v>0</v>
      </c>
      <c r="GQ221">
        <f>SUBTOTAL(109,Table1910[Inter School sports 33])</f>
        <v>0</v>
      </c>
      <c r="GR221">
        <f>SUBTOTAL(109,Table1910[Inter School sports 34])</f>
        <v>0</v>
      </c>
      <c r="GS221">
        <f>SUBTOTAL(109,Table1910[Inter School sports 35])</f>
        <v>0</v>
      </c>
      <c r="GT221">
        <f>SUBTOTAL(109,Table1910[Inter School sports 36])</f>
        <v>0</v>
      </c>
      <c r="GU221">
        <f>SUBTOTAL(109,Table1910[Inter School sports 37])</f>
        <v>0</v>
      </c>
      <c r="GV221">
        <f>SUBTOTAL(109,Table1910[Inter School sports 38])</f>
        <v>0</v>
      </c>
      <c r="GW221">
        <f>SUBTOTAL(109,Table1910[Inter School sports 39])</f>
        <v>0</v>
      </c>
      <c r="GX221">
        <f>SUBTOTAL(109,Table1910[Inter School sports 40])</f>
        <v>0</v>
      </c>
      <c r="GY221">
        <f>SUBTOTAL(109,Table1910[Inter School sports 41])</f>
        <v>0</v>
      </c>
      <c r="GZ221">
        <f>SUBTOTAL(109,Table1910[Inter School sports 42])</f>
        <v>0</v>
      </c>
      <c r="HA221">
        <f>SUBTOTAL(109,Table1910[Inter School sports 43])</f>
        <v>0</v>
      </c>
      <c r="HB221">
        <f>SUBTOTAL(109,Table1910[Inter School sports 44])</f>
        <v>0</v>
      </c>
      <c r="HC221">
        <f>SUBTOTAL(109,Table1910[Inter School sports 45])</f>
        <v>0</v>
      </c>
      <c r="HD221">
        <f>SUBTOTAL(109,Table1910[Inter School sports 46])</f>
        <v>0</v>
      </c>
      <c r="HE221">
        <f>SUBTOTAL(109,Table1910[Inter School sports 47])</f>
        <v>0</v>
      </c>
      <c r="HF221">
        <f>SUBTOTAL(109,Table1910[Inter School sports 48])</f>
        <v>0</v>
      </c>
      <c r="HG221">
        <f>SUBTOTAL(109,Table1910[Inter School sports 49])</f>
        <v>0</v>
      </c>
      <c r="HH221">
        <f>SUBTOTAL(109,Table1910[Inter School sports 50])</f>
        <v>0</v>
      </c>
      <c r="HI221"/>
      <c r="HJ221" s="65"/>
    </row>
  </sheetData>
  <mergeCells count="5">
    <mergeCell ref="B1:J1"/>
    <mergeCell ref="Q1:BN1"/>
    <mergeCell ref="BO1:DL1"/>
    <mergeCell ref="DM1:FJ1"/>
    <mergeCell ref="FK1:HH1"/>
  </mergeCells>
  <pageMargins left="0.7" right="0.7" top="0.75" bottom="0.75" header="0.3" footer="0.3"/>
  <pageSetup paperSize="9"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221"/>
  <sheetViews>
    <sheetView showGridLines="0" workbookViewId="0">
      <pane xSplit="10" ySplit="3" topLeftCell="K4" activePane="bottomRight" state="frozen"/>
      <selection pane="topRight" activeCell="K1" sqref="K1"/>
      <selection pane="bottomLeft" activeCell="A4" sqref="A4"/>
      <selection pane="bottomRight" activeCell="Q9" sqref="Q9"/>
    </sheetView>
  </sheetViews>
  <sheetFormatPr defaultRowHeight="15" x14ac:dyDescent="0.25"/>
  <cols>
    <col min="1" max="1" width="14.140625" customWidth="1"/>
    <col min="2" max="2" width="13.85546875" customWidth="1"/>
    <col min="3" max="3" width="7.5703125" customWidth="1"/>
    <col min="4" max="4" width="9.28515625" customWidth="1"/>
    <col min="5" max="5" width="3.28515625" customWidth="1"/>
    <col min="6" max="6" width="3.5703125" customWidth="1"/>
    <col min="7" max="9" width="3.28515625" customWidth="1"/>
    <col min="10" max="10" width="4.28515625" customWidth="1"/>
    <col min="11" max="11" width="4.28515625" style="2" customWidth="1"/>
    <col min="12" max="12" width="3.7109375" style="2" customWidth="1"/>
    <col min="13" max="16" width="4.28515625" style="2" customWidth="1"/>
    <col min="17" max="26" width="3.140625" customWidth="1"/>
    <col min="27" max="66" width="3.7109375" hidden="1" customWidth="1"/>
    <col min="67" max="81" width="2.5703125" customWidth="1"/>
    <col min="82" max="116" width="2.85546875" hidden="1" customWidth="1"/>
    <col min="117" max="131" width="3.140625" customWidth="1"/>
    <col min="132" max="166" width="3.7109375" hidden="1" customWidth="1"/>
    <col min="167" max="172" width="3.28515625" customWidth="1"/>
    <col min="173" max="181" width="3.140625" customWidth="1"/>
    <col min="182" max="216" width="3.140625" hidden="1" customWidth="1"/>
    <col min="217" max="217" width="24.140625" style="19" customWidth="1"/>
  </cols>
  <sheetData>
    <row r="1" spans="1:218" ht="43.5" customHeight="1" x14ac:dyDescent="0.25">
      <c r="B1" s="144" t="s">
        <v>315</v>
      </c>
      <c r="C1" s="144"/>
      <c r="D1" s="144"/>
      <c r="E1" s="144"/>
      <c r="F1" s="144"/>
      <c r="G1" s="144"/>
      <c r="H1" s="144"/>
      <c r="I1" s="144"/>
      <c r="J1" s="144"/>
      <c r="K1" s="86"/>
      <c r="L1" s="86"/>
      <c r="M1" s="86"/>
      <c r="N1" s="86"/>
      <c r="O1" s="86"/>
      <c r="P1" s="86"/>
      <c r="Q1" s="145" t="s">
        <v>31</v>
      </c>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6" t="s">
        <v>115</v>
      </c>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8" t="s">
        <v>323</v>
      </c>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9" t="s">
        <v>324</v>
      </c>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73"/>
    </row>
    <row r="2" spans="1:218" s="20" customFormat="1" ht="18.75" customHeight="1" x14ac:dyDescent="0.25">
      <c r="A2" s="20" t="s">
        <v>58</v>
      </c>
      <c r="E2" s="20">
        <f>Table19[[#Totals],[FSM / PP]]</f>
        <v>5</v>
      </c>
      <c r="F2" s="20">
        <f>Table19[[#Totals],[Ethnically Diverse]]</f>
        <v>0</v>
      </c>
      <c r="G2" s="20">
        <f>Table19[[#Totals],[EAL]]</f>
        <v>1</v>
      </c>
      <c r="H2" s="20">
        <f>Table19[[#Totals],[SEN]]</f>
        <v>0</v>
      </c>
      <c r="I2" s="20">
        <f>Table19[[#Totals],[Young Leader]]</f>
        <v>1</v>
      </c>
      <c r="J2" s="20">
        <f>Table19[[#Totals],[Least active]]</f>
        <v>1</v>
      </c>
      <c r="K2" s="87">
        <f>Table19[[#Totals],[Total Challenges]]</f>
        <v>5</v>
      </c>
      <c r="L2" s="87">
        <f>Table19[[#Totals],[Total Ex-C Clubs]]</f>
        <v>4</v>
      </c>
      <c r="M2" s="87">
        <f>Table19[[#Totals],[Total Intra-School Sports]]</f>
        <v>3</v>
      </c>
      <c r="N2" s="87">
        <f>Table19[[#Totals],[Total Inter-School Sports]]</f>
        <v>5</v>
      </c>
      <c r="O2" s="87">
        <f>Table19[[#Totals],[Community Clubs]]</f>
        <v>1</v>
      </c>
      <c r="P2" s="87">
        <f>Table19[[#Totals],[Active Opportunity]]</f>
        <v>5</v>
      </c>
      <c r="Q2" s="20">
        <f>Table19[[#Totals],[Challenge 1]]</f>
        <v>5</v>
      </c>
      <c r="R2" s="20">
        <f>Table19[[#Totals],[Challenge 2]]</f>
        <v>0</v>
      </c>
      <c r="S2" s="20">
        <f>Table19[[#Totals],[Challenge 3]]</f>
        <v>0</v>
      </c>
      <c r="T2" s="20">
        <f>Table19[[#Totals],[Challenge 4]]</f>
        <v>0</v>
      </c>
      <c r="U2" s="20">
        <f>Table19[[#Totals],[Challenge 5]]</f>
        <v>0</v>
      </c>
      <c r="V2" s="20">
        <f>Table19[[#Totals],[Challenge 6]]</f>
        <v>0</v>
      </c>
      <c r="W2" s="20">
        <f>Table19[[#Totals],[Challenge 7]]</f>
        <v>0</v>
      </c>
      <c r="X2" s="20">
        <f>Table19[[#Totals],[Challenge 8]]</f>
        <v>0</v>
      </c>
      <c r="Y2" s="20">
        <f>Table19[[#Totals],[Challenge 9]]</f>
        <v>0</v>
      </c>
      <c r="Z2" s="20">
        <f>Table19[[#Totals],[Challenge 10]]</f>
        <v>0</v>
      </c>
      <c r="AA2" s="20">
        <f>Table19[[#Totals],[Challenge 11]]</f>
        <v>0</v>
      </c>
      <c r="AB2" s="20">
        <f>Table19[[#Totals],[Challenge 12]]</f>
        <v>0</v>
      </c>
      <c r="AC2" s="20">
        <f>Table19[[#Totals],[Challenge 13]]</f>
        <v>0</v>
      </c>
      <c r="AD2" s="20">
        <f>Table19[[#Totals],[Challenge 14]]</f>
        <v>0</v>
      </c>
      <c r="AE2" s="20">
        <f>Table19[[#Totals],[Challenge 15]]</f>
        <v>0</v>
      </c>
      <c r="AF2" s="20">
        <f>Table19[[#Totals],[Challenge 16]]</f>
        <v>0</v>
      </c>
      <c r="AG2" s="20">
        <f>Table19[[#Totals],[Challenge 17]]</f>
        <v>0</v>
      </c>
      <c r="AH2" s="20">
        <f>Table19[[#Totals],[Challenge 18]]</f>
        <v>0</v>
      </c>
      <c r="AI2" s="20">
        <f>Table19[[#Totals],[Challenge 19]]</f>
        <v>0</v>
      </c>
      <c r="AJ2" s="20">
        <f>Table19[[#Totals],[Challenge 20]]</f>
        <v>0</v>
      </c>
      <c r="AK2" s="20">
        <f>Table19[[#Totals],[Challenge 21]]</f>
        <v>0</v>
      </c>
      <c r="AL2" s="20">
        <f>Table19[[#Totals],[Challenge 22]]</f>
        <v>0</v>
      </c>
      <c r="AM2" s="20">
        <f>Table19[[#Totals],[Challenge 23]]</f>
        <v>0</v>
      </c>
      <c r="AN2" s="20">
        <f>Table19[[#Totals],[Challenge 24]]</f>
        <v>0</v>
      </c>
      <c r="AO2" s="20">
        <f>Table19[[#Totals],[Challenge 25]]</f>
        <v>0</v>
      </c>
      <c r="AP2" s="20">
        <f>Table19[[#Totals],[Challenge 26]]</f>
        <v>0</v>
      </c>
      <c r="AQ2" s="20">
        <f>Table19[[#Totals],[Challenge 27]]</f>
        <v>0</v>
      </c>
      <c r="AR2" s="20">
        <f>Table19[[#Totals],[Challenge 28]]</f>
        <v>0</v>
      </c>
      <c r="AS2" s="20">
        <f>Table19[[#Totals],[Challenge 29]]</f>
        <v>0</v>
      </c>
      <c r="AT2" s="20">
        <f>Table19[[#Totals],[Challenge 30]]</f>
        <v>0</v>
      </c>
      <c r="AU2" s="20">
        <f>Table19[[#Totals],[Challenge 31]]</f>
        <v>0</v>
      </c>
      <c r="AV2" s="20">
        <f>Table19[[#Totals],[Challenge 32]]</f>
        <v>0</v>
      </c>
      <c r="AW2" s="20">
        <f>Table19[[#Totals],[Challenge 33]]</f>
        <v>0</v>
      </c>
      <c r="AX2" s="20">
        <f>Table19[[#Totals],[Challenge 34]]</f>
        <v>0</v>
      </c>
      <c r="AY2" s="20">
        <f>Table19[[#Totals],[Challenge 35]]</f>
        <v>0</v>
      </c>
      <c r="AZ2" s="20">
        <f>Table19[[#Totals],[Challenge 36]]</f>
        <v>0</v>
      </c>
      <c r="BA2" s="20">
        <f>Table19[[#Totals],[Challenge 37]]</f>
        <v>0</v>
      </c>
      <c r="BB2" s="20">
        <f>Table19[[#Totals],[Challenge 38]]</f>
        <v>0</v>
      </c>
      <c r="BC2" s="20">
        <f>Table19[[#Totals],[Challenge 39]]</f>
        <v>0</v>
      </c>
      <c r="BD2" s="20">
        <f>Table19[[#Totals],[Challenge 40]]</f>
        <v>0</v>
      </c>
      <c r="BE2" s="20">
        <f>Table19[[#Totals],[Challenge 41]]</f>
        <v>0</v>
      </c>
      <c r="BF2" s="20">
        <f>Table19[[#Totals],[Challenge 42]]</f>
        <v>0</v>
      </c>
      <c r="BG2" s="20">
        <f>Table19[[#Totals],[Challenge 43]]</f>
        <v>0</v>
      </c>
      <c r="BH2" s="20">
        <f>Table19[[#Totals],[Challenge 44]]</f>
        <v>0</v>
      </c>
      <c r="BI2" s="20">
        <f>Table19[[#Totals],[Challenge 45]]</f>
        <v>0</v>
      </c>
      <c r="BJ2" s="20">
        <f>Table19[[#Totals],[Challenge 46]]</f>
        <v>0</v>
      </c>
      <c r="BK2" s="20">
        <f>Table19[[#Totals],[Challenge 47]]</f>
        <v>0</v>
      </c>
      <c r="BL2" s="20">
        <f>Table19[[#Totals],[Challenge 48]]</f>
        <v>0</v>
      </c>
      <c r="BM2" s="20">
        <f>Table19[[#Totals],[Challenge 49]]</f>
        <v>0</v>
      </c>
      <c r="BN2" s="20">
        <f>Table19[[#Totals],[Challenge 50]]</f>
        <v>0</v>
      </c>
      <c r="BO2" s="20">
        <f>Table19[[#Totals],[Club 1]]</f>
        <v>4</v>
      </c>
      <c r="BP2" s="20">
        <f>Table19[[#Totals],[Club 2]]</f>
        <v>0</v>
      </c>
      <c r="BQ2" s="20">
        <f>Table19[[#Totals],[Club 3]]</f>
        <v>0</v>
      </c>
      <c r="BR2" s="20">
        <f>Table19[[#Totals],[Club 4]]</f>
        <v>0</v>
      </c>
      <c r="BS2" s="20">
        <f>Table19[[#Totals],[Club 5]]</f>
        <v>0</v>
      </c>
      <c r="BT2" s="20">
        <f>Table19[[#Totals],[Club 6]]</f>
        <v>0</v>
      </c>
      <c r="BU2" s="20">
        <f>Table19[[#Totals],[Club 7]]</f>
        <v>0</v>
      </c>
      <c r="BV2" s="20">
        <f>Table19[[#Totals],[Club 8]]</f>
        <v>0</v>
      </c>
      <c r="BW2" s="20">
        <f>Table19[[#Totals],[Club 9]]</f>
        <v>0</v>
      </c>
      <c r="BX2" s="20">
        <f>Table19[[#Totals],[Club 10]]</f>
        <v>0</v>
      </c>
      <c r="BY2" s="20">
        <f>Table19[[#Totals],[Club 11]]</f>
        <v>0</v>
      </c>
      <c r="BZ2" s="20">
        <f>Table19[[#Totals],[Club 12]]</f>
        <v>0</v>
      </c>
      <c r="CA2" s="20">
        <f>Table19[[#Totals],[Club 13]]</f>
        <v>0</v>
      </c>
      <c r="CB2" s="20">
        <f>Table19[[#Totals],[Club 14]]</f>
        <v>0</v>
      </c>
      <c r="CC2" s="20">
        <f>Table19[[#Totals],[Club 15]]</f>
        <v>0</v>
      </c>
      <c r="CD2" s="20">
        <f>Table19[[#Totals],[Club 16]]</f>
        <v>0</v>
      </c>
      <c r="CE2" s="20">
        <f>Table19[[#Totals],[Club 17]]</f>
        <v>0</v>
      </c>
      <c r="CF2" s="20">
        <f>Table19[[#Totals],[Club 18]]</f>
        <v>0</v>
      </c>
      <c r="CG2" s="20">
        <f>Table19[[#Totals],[Club 19]]</f>
        <v>0</v>
      </c>
      <c r="CH2" s="20">
        <f>Table19[[#Totals],[Club 20]]</f>
        <v>0</v>
      </c>
      <c r="CI2" s="20">
        <f>Table19[[#Totals],[Club 21]]</f>
        <v>0</v>
      </c>
      <c r="CJ2" s="20">
        <f>Table19[[#Totals],[Club 22]]</f>
        <v>0</v>
      </c>
      <c r="CK2" s="20">
        <f>Table19[[#Totals],[Club 23]]</f>
        <v>0</v>
      </c>
      <c r="CL2" s="20">
        <f>Table19[[#Totals],[Club 24]]</f>
        <v>0</v>
      </c>
      <c r="CM2" s="20">
        <f>Table19[[#Totals],[Club 25]]</f>
        <v>0</v>
      </c>
      <c r="CN2" s="20">
        <f>Table19[[#Totals],[Club 26]]</f>
        <v>0</v>
      </c>
      <c r="CO2" s="20">
        <f>Table19[[#Totals],[Club 27]]</f>
        <v>0</v>
      </c>
      <c r="CP2" s="20">
        <f>Table19[[#Totals],[Club 28]]</f>
        <v>0</v>
      </c>
      <c r="CQ2" s="20">
        <f>Table19[[#Totals],[Club 29]]</f>
        <v>0</v>
      </c>
      <c r="CR2" s="20">
        <f>Table19[[#Totals],[Club 30]]</f>
        <v>0</v>
      </c>
      <c r="CS2" s="20">
        <f>Table19[[#Totals],[Club 31]]</f>
        <v>0</v>
      </c>
      <c r="CT2" s="20">
        <f>Table19[[#Totals],[Club 32]]</f>
        <v>0</v>
      </c>
      <c r="CU2" s="20">
        <f>Table19[[#Totals],[Club 33]]</f>
        <v>0</v>
      </c>
      <c r="CV2" s="20">
        <f>Table19[[#Totals],[Club 34]]</f>
        <v>0</v>
      </c>
      <c r="CW2" s="20">
        <f>Table19[[#Totals],[Club 35]]</f>
        <v>0</v>
      </c>
      <c r="CX2" s="20">
        <f>Table19[[#Totals],[Club 36]]</f>
        <v>0</v>
      </c>
      <c r="CY2" s="20">
        <f>Table19[[#Totals],[Club 37]]</f>
        <v>0</v>
      </c>
      <c r="CZ2" s="20">
        <f>Table19[[#Totals],[Club 38]]</f>
        <v>0</v>
      </c>
      <c r="DA2" s="20">
        <f>Table19[[#Totals],[Club 39]]</f>
        <v>0</v>
      </c>
      <c r="DB2" s="20">
        <f>Table19[[#Totals],[Club 40]]</f>
        <v>0</v>
      </c>
      <c r="DC2" s="20">
        <f>Table19[[#Totals],[Club 41]]</f>
        <v>0</v>
      </c>
      <c r="DD2" s="20">
        <f>Table19[[#Totals],[Club 42]]</f>
        <v>0</v>
      </c>
      <c r="DE2" s="20">
        <f>Table19[[#Totals],[Club 43]]</f>
        <v>0</v>
      </c>
      <c r="DF2" s="20">
        <f>Table19[[#Totals],[Club 44]]</f>
        <v>0</v>
      </c>
      <c r="DG2" s="20">
        <f>Table19[[#Totals],[Club 45]]</f>
        <v>0</v>
      </c>
      <c r="DH2" s="20">
        <f>Table19[[#Totals],[Club 46]]</f>
        <v>0</v>
      </c>
      <c r="DI2" s="20">
        <f>Table19[[#Totals],[Club 47]]</f>
        <v>0</v>
      </c>
      <c r="DJ2" s="20">
        <f>Table19[[#Totals],[Club 48]]</f>
        <v>0</v>
      </c>
      <c r="DK2" s="20">
        <f>Table19[[#Totals],[Club 49]]</f>
        <v>0</v>
      </c>
      <c r="DL2" s="20">
        <f>Table19[[#Totals],[Club 50]]</f>
        <v>0</v>
      </c>
      <c r="DM2" s="20">
        <f>Table19[[#Totals],[Intra-school sports 1]]</f>
        <v>3</v>
      </c>
      <c r="DN2" s="20">
        <f>Table19[[#Totals],[Intra-school sports 2]]</f>
        <v>0</v>
      </c>
      <c r="DO2" s="20">
        <f>Table19[[#Totals],[Intra-school sports 3]]</f>
        <v>0</v>
      </c>
      <c r="DP2" s="20">
        <f>Table19[[#Totals],[Intra-school sports 4]]</f>
        <v>0</v>
      </c>
      <c r="DQ2" s="20">
        <f>Table19[[#Totals],[Intra-school sports 5]]</f>
        <v>0</v>
      </c>
      <c r="DR2" s="20">
        <f>Table19[[#Totals],[Intra-school sports 6]]</f>
        <v>0</v>
      </c>
      <c r="DS2" s="20">
        <f>Table19[[#Totals],[Intra-school sports 7]]</f>
        <v>0</v>
      </c>
      <c r="DT2" s="20">
        <f>Table19[[#Totals],[Intra-school sports 8]]</f>
        <v>0</v>
      </c>
      <c r="DU2" s="20">
        <f>Table19[[#Totals],[Intra-school sports 9]]</f>
        <v>0</v>
      </c>
      <c r="DV2" s="20">
        <f>Table19[[#Totals],[Intra-school sports 10]]</f>
        <v>0</v>
      </c>
      <c r="DW2" s="20">
        <f>Table19[[#Totals],[Intra-school sports 11]]</f>
        <v>0</v>
      </c>
      <c r="DX2" s="20">
        <f>Table19[[#Totals],[Intra-school sports 12]]</f>
        <v>0</v>
      </c>
      <c r="DY2" s="20">
        <f>Table19[[#Totals],[Intra-school sports 13]]</f>
        <v>0</v>
      </c>
      <c r="DZ2" s="20">
        <f>Table19[[#Totals],[Intra-school sports 14]]</f>
        <v>0</v>
      </c>
      <c r="EA2" s="20">
        <f>Table19[[#Totals],[Intra-school sports 15]]</f>
        <v>0</v>
      </c>
      <c r="EB2" s="20">
        <f>Table19[[#Totals],[Intra-school sports 16]]</f>
        <v>0</v>
      </c>
      <c r="EC2" s="20">
        <f>Table19[[#Totals],[Intra-school sports 17]]</f>
        <v>0</v>
      </c>
      <c r="ED2" s="20">
        <f>Table19[[#Totals],[Intra-school sports 18]]</f>
        <v>0</v>
      </c>
      <c r="EE2" s="20">
        <f>Table19[[#Totals],[Intra-school sports 19]]</f>
        <v>0</v>
      </c>
      <c r="EF2" s="20">
        <f>Table19[[#Totals],[Intra-school sports 20]]</f>
        <v>0</v>
      </c>
      <c r="EG2" s="20">
        <f>Table19[[#Totals],[Intra-school sports 21]]</f>
        <v>0</v>
      </c>
      <c r="EH2" s="20">
        <f>Table19[[#Totals],[Intra-school sports 22]]</f>
        <v>0</v>
      </c>
      <c r="EI2" s="20">
        <f>Table19[[#Totals],[Intra-school sports 23]]</f>
        <v>0</v>
      </c>
      <c r="EJ2" s="20">
        <f>Table19[[#Totals],[Intra-school sports 24]]</f>
        <v>0</v>
      </c>
      <c r="EK2" s="20">
        <f>Table19[[#Totals],[Intra-school sports 25]]</f>
        <v>0</v>
      </c>
      <c r="EL2" s="20">
        <f>Table19[[#Totals],[Intra-school sports 26]]</f>
        <v>0</v>
      </c>
      <c r="EM2" s="20">
        <f>Table19[[#Totals],[Intra-school sports 27]]</f>
        <v>0</v>
      </c>
      <c r="EN2" s="20">
        <f>Table19[[#Totals],[Intra-school sports 28]]</f>
        <v>0</v>
      </c>
      <c r="EO2" s="20">
        <f>Table19[[#Totals],[Intra-school sports 29]]</f>
        <v>0</v>
      </c>
      <c r="EP2" s="20">
        <f>Table19[[#Totals],[Intra-school sports 30]]</f>
        <v>0</v>
      </c>
      <c r="EQ2" s="20">
        <f>Table19[[#Totals],[Intra-school sports 31]]</f>
        <v>0</v>
      </c>
      <c r="ER2" s="20">
        <f>Table19[[#Totals],[Intra-school sports 32]]</f>
        <v>0</v>
      </c>
      <c r="ES2" s="20">
        <f>Table19[[#Totals],[Intra-school sports 33]]</f>
        <v>0</v>
      </c>
      <c r="ET2" s="20">
        <f>Table19[[#Totals],[Intra-school sports 34]]</f>
        <v>0</v>
      </c>
      <c r="EU2" s="20">
        <f>Table19[[#Totals],[Intra-school sports 35]]</f>
        <v>0</v>
      </c>
      <c r="EV2" s="20">
        <f>Table19[[#Totals],[Intra-school sports 36]]</f>
        <v>0</v>
      </c>
      <c r="EW2" s="20">
        <f>Table19[[#Totals],[Intra-school sports 37]]</f>
        <v>0</v>
      </c>
      <c r="EX2" s="20">
        <f>Table19[[#Totals],[Intra-school sports 38]]</f>
        <v>0</v>
      </c>
      <c r="EY2" s="20">
        <f>Table19[[#Totals],[Intra-school sports 39]]</f>
        <v>0</v>
      </c>
      <c r="EZ2" s="20">
        <f>Table19[[#Totals],[Intra-school sports 40]]</f>
        <v>0</v>
      </c>
      <c r="FA2" s="20">
        <f>Table19[[#Totals],[Intra-school sports 41]]</f>
        <v>0</v>
      </c>
      <c r="FB2" s="20">
        <f>Table19[[#Totals],[Intra-school sports 42]]</f>
        <v>0</v>
      </c>
      <c r="FC2" s="20">
        <f>Table19[[#Totals],[Intra-school sports 43]]</f>
        <v>0</v>
      </c>
      <c r="FD2" s="20">
        <f>Table19[[#Totals],[Intra-school sports 44]]</f>
        <v>0</v>
      </c>
      <c r="FE2" s="20">
        <f>Table19[[#Totals],[Intra-school sports 45]]</f>
        <v>0</v>
      </c>
      <c r="FF2" s="20">
        <f>Table19[[#Totals],[Intra-school sports 46]]</f>
        <v>0</v>
      </c>
      <c r="FG2" s="20">
        <f>Table19[[#Totals],[Intra-school sports 47]]</f>
        <v>0</v>
      </c>
      <c r="FH2" s="20">
        <f>Table19[[#Totals],[Intra-school sports 48]]</f>
        <v>0</v>
      </c>
      <c r="FI2" s="20">
        <f>Table19[[#Totals],[Intra-school sports 49]]</f>
        <v>0</v>
      </c>
      <c r="FJ2" s="20">
        <f>Table19[[#Totals],[Intra-school sports 50]]</f>
        <v>0</v>
      </c>
      <c r="FK2" s="20">
        <f>Table19[[#Totals],[Inter School sports 1]]</f>
        <v>5</v>
      </c>
      <c r="FL2" s="20">
        <f>Table19[[#Totals],[Inter School sports 2]]</f>
        <v>0</v>
      </c>
      <c r="FM2" s="20">
        <f>Table19[[#Totals],[Inter School sports 3]]</f>
        <v>0</v>
      </c>
      <c r="FN2" s="20">
        <f>Table19[[#Totals],[Inter School sports 4]]</f>
        <v>0</v>
      </c>
      <c r="FO2" s="20">
        <f>Table19[[#Totals],[Inter School sports 5]]</f>
        <v>0</v>
      </c>
      <c r="FP2" s="20">
        <f>Table19[[#Totals],[Inter School sports 6]]</f>
        <v>0</v>
      </c>
      <c r="FQ2" s="20">
        <f>Table19[[#Totals],[Inter School sports 7]]</f>
        <v>0</v>
      </c>
      <c r="FR2" s="20">
        <f>Table19[[#Totals],[Inter School sports 8]]</f>
        <v>0</v>
      </c>
      <c r="FS2" s="20">
        <f>Table19[[#Totals],[Inter School sports 9]]</f>
        <v>0</v>
      </c>
      <c r="FT2" s="20">
        <f>Table19[[#Totals],[Inter School sports 10]]</f>
        <v>0</v>
      </c>
      <c r="FU2" s="20">
        <f>Table19[[#Totals],[Inter School sports 11]]</f>
        <v>0</v>
      </c>
      <c r="FV2" s="20">
        <f>Table19[[#Totals],[Inter School sports 12]]</f>
        <v>0</v>
      </c>
      <c r="FW2" s="20">
        <f>Table19[[#Totals],[Inter School sports 13]]</f>
        <v>0</v>
      </c>
      <c r="FX2" s="20">
        <f>Table19[[#Totals],[Inter School sports 14]]</f>
        <v>0</v>
      </c>
      <c r="FY2" s="20">
        <f>Table19[[#Totals],[Inter School sports 15]]</f>
        <v>0</v>
      </c>
      <c r="FZ2" s="20">
        <f>Table19[[#Totals],[Inter School sports 16]]</f>
        <v>0</v>
      </c>
      <c r="GA2" s="20">
        <f>Table19[[#Totals],[Inter School sports 17]]</f>
        <v>0</v>
      </c>
      <c r="GB2" s="20">
        <f>Table19[[#Totals],[Inter School sports 18]]</f>
        <v>0</v>
      </c>
      <c r="GC2" s="20">
        <f>Table19[[#Totals],[Inter School sports 19]]</f>
        <v>0</v>
      </c>
      <c r="GD2" s="20">
        <f>Table19[[#Totals],[Inter School sports 20]]</f>
        <v>0</v>
      </c>
      <c r="GE2" s="20">
        <f>Table19[[#Totals],[Inter School sports 21]]</f>
        <v>0</v>
      </c>
      <c r="GF2" s="20">
        <f>Table19[[#Totals],[Inter School sports 22]]</f>
        <v>0</v>
      </c>
      <c r="GG2" s="20">
        <f>Table19[[#Totals],[Inter School sports 23]]</f>
        <v>0</v>
      </c>
      <c r="GH2" s="20">
        <f>Table19[[#Totals],[Inter School sports 24]]</f>
        <v>0</v>
      </c>
      <c r="GI2" s="20">
        <f>Table19[[#Totals],[Inter School sports 25]]</f>
        <v>0</v>
      </c>
      <c r="GJ2" s="20">
        <f>Table19[[#Totals],[Inter School sports 26]]</f>
        <v>0</v>
      </c>
      <c r="GK2" s="20">
        <f>Table19[[#Totals],[Inter School sports 27]]</f>
        <v>0</v>
      </c>
      <c r="GL2" s="20">
        <f>Table19[[#Totals],[Inter School sports 28]]</f>
        <v>0</v>
      </c>
      <c r="GM2" s="20">
        <f>Table19[[#Totals],[Inter School sports 29]]</f>
        <v>0</v>
      </c>
      <c r="GN2" s="20">
        <f>Table19[[#Totals],[Inter School sports 30]]</f>
        <v>0</v>
      </c>
      <c r="GO2" s="20">
        <f>Table19[[#Totals],[Inter School sports 31]]</f>
        <v>0</v>
      </c>
      <c r="GP2" s="20">
        <f>Table19[[#Totals],[Inter School sports 32]]</f>
        <v>0</v>
      </c>
      <c r="GQ2" s="20">
        <f>Table19[[#Totals],[Inter School sports 33]]</f>
        <v>0</v>
      </c>
      <c r="GR2" s="20">
        <f>Table19[[#Totals],[Inter School sports 34]]</f>
        <v>0</v>
      </c>
      <c r="GS2" s="20">
        <f>Table19[[#Totals],[Inter School sports 35]]</f>
        <v>0</v>
      </c>
      <c r="GT2" s="20">
        <f>Table19[[#Totals],[Inter School sports 36]]</f>
        <v>0</v>
      </c>
      <c r="GU2" s="20">
        <f>Table19[[#Totals],[Inter School sports 37]]</f>
        <v>0</v>
      </c>
      <c r="GV2" s="20">
        <f>Table19[[#Totals],[Inter School sports 38]]</f>
        <v>0</v>
      </c>
      <c r="GW2" s="20">
        <f>Table19[[#Totals],[Inter School sports 39]]</f>
        <v>0</v>
      </c>
      <c r="GX2" s="20">
        <f>Table19[[#Totals],[Inter School sports 40]]</f>
        <v>0</v>
      </c>
      <c r="GY2" s="20">
        <f>Table19[[#Totals],[Inter School sports 41]]</f>
        <v>0</v>
      </c>
      <c r="GZ2" s="20">
        <f>Table19[[#Totals],[Inter School sports 42]]</f>
        <v>0</v>
      </c>
      <c r="HA2" s="20">
        <f>Table19[[#Totals],[Inter School sports 43]]</f>
        <v>0</v>
      </c>
      <c r="HB2" s="20">
        <f>Table19[[#Totals],[Inter School sports 44]]</f>
        <v>0</v>
      </c>
      <c r="HC2" s="20">
        <f>Table19[[#Totals],[Inter School sports 45]]</f>
        <v>0</v>
      </c>
      <c r="HD2" s="20">
        <f>Table19[[#Totals],[Inter School sports 46]]</f>
        <v>0</v>
      </c>
      <c r="HE2" s="20">
        <f>Table19[[#Totals],[Inter School sports 47]]</f>
        <v>0</v>
      </c>
      <c r="HF2" s="20">
        <f>Table19[[#Totals],[Inter School sports 48]]</f>
        <v>0</v>
      </c>
      <c r="HG2" s="20">
        <f>Table19[[#Totals],[Inter School sports 49]]</f>
        <v>0</v>
      </c>
      <c r="HH2" s="20">
        <f>Table19[[#Totals],[Inter School sports 50]]</f>
        <v>0</v>
      </c>
      <c r="HJ2"/>
    </row>
    <row r="3" spans="1:218" ht="131.25" customHeight="1" x14ac:dyDescent="0.25">
      <c r="A3" s="15" t="s">
        <v>39</v>
      </c>
      <c r="B3" s="15" t="s">
        <v>40</v>
      </c>
      <c r="C3" s="15" t="s">
        <v>41</v>
      </c>
      <c r="D3" s="15" t="s">
        <v>317</v>
      </c>
      <c r="E3" s="16" t="s">
        <v>316</v>
      </c>
      <c r="F3" s="16" t="s">
        <v>332</v>
      </c>
      <c r="G3" s="16" t="s">
        <v>42</v>
      </c>
      <c r="H3" s="16" t="s">
        <v>43</v>
      </c>
      <c r="I3" s="16" t="s">
        <v>44</v>
      </c>
      <c r="J3" s="16" t="s">
        <v>74</v>
      </c>
      <c r="K3" s="23" t="s">
        <v>318</v>
      </c>
      <c r="L3" s="25" t="s">
        <v>319</v>
      </c>
      <c r="M3" s="26" t="s">
        <v>320</v>
      </c>
      <c r="N3" s="27" t="s">
        <v>321</v>
      </c>
      <c r="O3" s="74" t="s">
        <v>306</v>
      </c>
      <c r="P3" s="82" t="s">
        <v>322</v>
      </c>
      <c r="Q3" s="23" t="s">
        <v>51</v>
      </c>
      <c r="R3" s="23" t="s">
        <v>52</v>
      </c>
      <c r="S3" s="23" t="s">
        <v>53</v>
      </c>
      <c r="T3" s="23" t="s">
        <v>54</v>
      </c>
      <c r="U3" s="23" t="s">
        <v>55</v>
      </c>
      <c r="V3" s="23" t="s">
        <v>56</v>
      </c>
      <c r="W3" s="23" t="s">
        <v>162</v>
      </c>
      <c r="X3" s="23" t="s">
        <v>163</v>
      </c>
      <c r="Y3" s="23" t="s">
        <v>164</v>
      </c>
      <c r="Z3" s="23" t="s">
        <v>165</v>
      </c>
      <c r="AA3" s="23" t="s">
        <v>166</v>
      </c>
      <c r="AB3" s="23" t="s">
        <v>167</v>
      </c>
      <c r="AC3" s="23" t="s">
        <v>168</v>
      </c>
      <c r="AD3" s="23" t="s">
        <v>169</v>
      </c>
      <c r="AE3" s="23" t="s">
        <v>170</v>
      </c>
      <c r="AF3" s="23" t="s">
        <v>171</v>
      </c>
      <c r="AG3" s="23" t="s">
        <v>172</v>
      </c>
      <c r="AH3" s="23" t="s">
        <v>173</v>
      </c>
      <c r="AI3" s="23" t="s">
        <v>174</v>
      </c>
      <c r="AJ3" s="23" t="s">
        <v>175</v>
      </c>
      <c r="AK3" s="23" t="s">
        <v>176</v>
      </c>
      <c r="AL3" s="23" t="s">
        <v>177</v>
      </c>
      <c r="AM3" s="23" t="s">
        <v>178</v>
      </c>
      <c r="AN3" s="23" t="s">
        <v>179</v>
      </c>
      <c r="AO3" s="23" t="s">
        <v>180</v>
      </c>
      <c r="AP3" s="23" t="s">
        <v>181</v>
      </c>
      <c r="AQ3" s="23" t="s">
        <v>182</v>
      </c>
      <c r="AR3" s="23" t="s">
        <v>183</v>
      </c>
      <c r="AS3" s="23" t="s">
        <v>184</v>
      </c>
      <c r="AT3" s="23" t="s">
        <v>185</v>
      </c>
      <c r="AU3" s="23" t="s">
        <v>186</v>
      </c>
      <c r="AV3" s="23" t="s">
        <v>187</v>
      </c>
      <c r="AW3" s="23" t="s">
        <v>188</v>
      </c>
      <c r="AX3" s="23" t="s">
        <v>189</v>
      </c>
      <c r="AY3" s="23" t="s">
        <v>190</v>
      </c>
      <c r="AZ3" s="23" t="s">
        <v>191</v>
      </c>
      <c r="BA3" s="23" t="s">
        <v>192</v>
      </c>
      <c r="BB3" s="23" t="s">
        <v>193</v>
      </c>
      <c r="BC3" s="23" t="s">
        <v>194</v>
      </c>
      <c r="BD3" s="23" t="s">
        <v>195</v>
      </c>
      <c r="BE3" s="23" t="s">
        <v>196</v>
      </c>
      <c r="BF3" s="23" t="s">
        <v>197</v>
      </c>
      <c r="BG3" s="23" t="s">
        <v>198</v>
      </c>
      <c r="BH3" s="23" t="s">
        <v>199</v>
      </c>
      <c r="BI3" s="23" t="s">
        <v>200</v>
      </c>
      <c r="BJ3" s="23" t="s">
        <v>201</v>
      </c>
      <c r="BK3" s="23" t="s">
        <v>202</v>
      </c>
      <c r="BL3" s="23" t="s">
        <v>203</v>
      </c>
      <c r="BM3" s="23" t="s">
        <v>204</v>
      </c>
      <c r="BN3" s="23" t="s">
        <v>205</v>
      </c>
      <c r="BO3" s="24" t="s">
        <v>45</v>
      </c>
      <c r="BP3" s="24" t="s">
        <v>46</v>
      </c>
      <c r="BQ3" s="24" t="s">
        <v>47</v>
      </c>
      <c r="BR3" s="24" t="s">
        <v>48</v>
      </c>
      <c r="BS3" s="24" t="s">
        <v>49</v>
      </c>
      <c r="BT3" s="24" t="s">
        <v>50</v>
      </c>
      <c r="BU3" s="24" t="s">
        <v>117</v>
      </c>
      <c r="BV3" s="24" t="s">
        <v>123</v>
      </c>
      <c r="BW3" s="24" t="s">
        <v>124</v>
      </c>
      <c r="BX3" s="24" t="s">
        <v>125</v>
      </c>
      <c r="BY3" s="24" t="s">
        <v>126</v>
      </c>
      <c r="BZ3" s="24" t="s">
        <v>127</v>
      </c>
      <c r="CA3" s="24" t="s">
        <v>128</v>
      </c>
      <c r="CB3" s="24" t="s">
        <v>129</v>
      </c>
      <c r="CC3" s="24" t="s">
        <v>130</v>
      </c>
      <c r="CD3" s="24" t="s">
        <v>131</v>
      </c>
      <c r="CE3" s="24" t="s">
        <v>132</v>
      </c>
      <c r="CF3" s="24" t="s">
        <v>133</v>
      </c>
      <c r="CG3" s="24" t="s">
        <v>134</v>
      </c>
      <c r="CH3" s="24" t="s">
        <v>135</v>
      </c>
      <c r="CI3" s="24" t="s">
        <v>136</v>
      </c>
      <c r="CJ3" s="24" t="s">
        <v>137</v>
      </c>
      <c r="CK3" s="24" t="s">
        <v>138</v>
      </c>
      <c r="CL3" s="24" t="s">
        <v>139</v>
      </c>
      <c r="CM3" s="24" t="s">
        <v>140</v>
      </c>
      <c r="CN3" s="24" t="s">
        <v>141</v>
      </c>
      <c r="CO3" s="24" t="s">
        <v>142</v>
      </c>
      <c r="CP3" s="24" t="s">
        <v>143</v>
      </c>
      <c r="CQ3" s="24" t="s">
        <v>144</v>
      </c>
      <c r="CR3" s="24" t="s">
        <v>145</v>
      </c>
      <c r="CS3" s="24" t="s">
        <v>146</v>
      </c>
      <c r="CT3" s="24" t="s">
        <v>119</v>
      </c>
      <c r="CU3" s="24" t="s">
        <v>120</v>
      </c>
      <c r="CV3" s="24" t="s">
        <v>121</v>
      </c>
      <c r="CW3" s="24" t="s">
        <v>122</v>
      </c>
      <c r="CX3" s="24" t="s">
        <v>147</v>
      </c>
      <c r="CY3" s="24" t="s">
        <v>148</v>
      </c>
      <c r="CZ3" s="24" t="s">
        <v>149</v>
      </c>
      <c r="DA3" s="24" t="s">
        <v>150</v>
      </c>
      <c r="DB3" s="24" t="s">
        <v>151</v>
      </c>
      <c r="DC3" s="24" t="s">
        <v>152</v>
      </c>
      <c r="DD3" s="24" t="s">
        <v>153</v>
      </c>
      <c r="DE3" s="24" t="s">
        <v>154</v>
      </c>
      <c r="DF3" s="24" t="s">
        <v>155</v>
      </c>
      <c r="DG3" s="24" t="s">
        <v>156</v>
      </c>
      <c r="DH3" s="24" t="s">
        <v>157</v>
      </c>
      <c r="DI3" s="24" t="s">
        <v>158</v>
      </c>
      <c r="DJ3" s="24" t="s">
        <v>159</v>
      </c>
      <c r="DK3" s="24" t="s">
        <v>160</v>
      </c>
      <c r="DL3" s="24" t="s">
        <v>161</v>
      </c>
      <c r="DM3" s="26" t="s">
        <v>62</v>
      </c>
      <c r="DN3" s="26" t="s">
        <v>63</v>
      </c>
      <c r="DO3" s="26" t="s">
        <v>64</v>
      </c>
      <c r="DP3" s="26" t="s">
        <v>65</v>
      </c>
      <c r="DQ3" s="26" t="s">
        <v>66</v>
      </c>
      <c r="DR3" s="26" t="s">
        <v>67</v>
      </c>
      <c r="DS3" s="26" t="s">
        <v>206</v>
      </c>
      <c r="DT3" s="26" t="s">
        <v>207</v>
      </c>
      <c r="DU3" s="26" t="s">
        <v>208</v>
      </c>
      <c r="DV3" s="26" t="s">
        <v>209</v>
      </c>
      <c r="DW3" s="26" t="s">
        <v>210</v>
      </c>
      <c r="DX3" s="26" t="s">
        <v>211</v>
      </c>
      <c r="DY3" s="26" t="s">
        <v>212</v>
      </c>
      <c r="DZ3" s="26" t="s">
        <v>213</v>
      </c>
      <c r="EA3" s="26" t="s">
        <v>214</v>
      </c>
      <c r="EB3" s="26" t="s">
        <v>215</v>
      </c>
      <c r="EC3" s="26" t="s">
        <v>216</v>
      </c>
      <c r="ED3" s="26" t="s">
        <v>217</v>
      </c>
      <c r="EE3" s="26" t="s">
        <v>218</v>
      </c>
      <c r="EF3" s="26" t="s">
        <v>219</v>
      </c>
      <c r="EG3" s="26" t="s">
        <v>220</v>
      </c>
      <c r="EH3" s="26" t="s">
        <v>221</v>
      </c>
      <c r="EI3" s="26" t="s">
        <v>222</v>
      </c>
      <c r="EJ3" s="26" t="s">
        <v>223</v>
      </c>
      <c r="EK3" s="26" t="s">
        <v>224</v>
      </c>
      <c r="EL3" s="26" t="s">
        <v>225</v>
      </c>
      <c r="EM3" s="26" t="s">
        <v>226</v>
      </c>
      <c r="EN3" s="26" t="s">
        <v>227</v>
      </c>
      <c r="EO3" s="26" t="s">
        <v>228</v>
      </c>
      <c r="EP3" s="26" t="s">
        <v>229</v>
      </c>
      <c r="EQ3" s="26" t="s">
        <v>230</v>
      </c>
      <c r="ER3" s="26" t="s">
        <v>231</v>
      </c>
      <c r="ES3" s="26" t="s">
        <v>232</v>
      </c>
      <c r="ET3" s="26" t="s">
        <v>233</v>
      </c>
      <c r="EU3" s="26" t="s">
        <v>234</v>
      </c>
      <c r="EV3" s="26" t="s">
        <v>235</v>
      </c>
      <c r="EW3" s="26" t="s">
        <v>236</v>
      </c>
      <c r="EX3" s="26" t="s">
        <v>237</v>
      </c>
      <c r="EY3" s="26" t="s">
        <v>238</v>
      </c>
      <c r="EZ3" s="26" t="s">
        <v>239</v>
      </c>
      <c r="FA3" s="26" t="s">
        <v>240</v>
      </c>
      <c r="FB3" s="26" t="s">
        <v>241</v>
      </c>
      <c r="FC3" s="26" t="s">
        <v>242</v>
      </c>
      <c r="FD3" s="26" t="s">
        <v>243</v>
      </c>
      <c r="FE3" s="26" t="s">
        <v>244</v>
      </c>
      <c r="FF3" s="26" t="s">
        <v>245</v>
      </c>
      <c r="FG3" s="26" t="s">
        <v>246</v>
      </c>
      <c r="FH3" s="26" t="s">
        <v>247</v>
      </c>
      <c r="FI3" s="26" t="s">
        <v>248</v>
      </c>
      <c r="FJ3" s="26" t="s">
        <v>249</v>
      </c>
      <c r="FK3" s="27" t="s">
        <v>68</v>
      </c>
      <c r="FL3" s="27" t="s">
        <v>69</v>
      </c>
      <c r="FM3" s="27" t="s">
        <v>70</v>
      </c>
      <c r="FN3" s="27" t="s">
        <v>71</v>
      </c>
      <c r="FO3" s="27" t="s">
        <v>72</v>
      </c>
      <c r="FP3" s="27" t="s">
        <v>73</v>
      </c>
      <c r="FQ3" s="27" t="s">
        <v>118</v>
      </c>
      <c r="FR3" s="27" t="s">
        <v>250</v>
      </c>
      <c r="FS3" s="27" t="s">
        <v>251</v>
      </c>
      <c r="FT3" s="27" t="s">
        <v>252</v>
      </c>
      <c r="FU3" s="27" t="s">
        <v>253</v>
      </c>
      <c r="FV3" s="27" t="s">
        <v>254</v>
      </c>
      <c r="FW3" s="27" t="s">
        <v>255</v>
      </c>
      <c r="FX3" s="27" t="s">
        <v>256</v>
      </c>
      <c r="FY3" s="27" t="s">
        <v>257</v>
      </c>
      <c r="FZ3" s="27" t="s">
        <v>258</v>
      </c>
      <c r="GA3" s="27" t="s">
        <v>259</v>
      </c>
      <c r="GB3" s="27" t="s">
        <v>260</v>
      </c>
      <c r="GC3" s="27" t="s">
        <v>261</v>
      </c>
      <c r="GD3" s="27" t="s">
        <v>262</v>
      </c>
      <c r="GE3" s="27" t="s">
        <v>263</v>
      </c>
      <c r="GF3" s="27" t="s">
        <v>264</v>
      </c>
      <c r="GG3" s="27" t="s">
        <v>265</v>
      </c>
      <c r="GH3" s="27" t="s">
        <v>266</v>
      </c>
      <c r="GI3" s="27" t="s">
        <v>267</v>
      </c>
      <c r="GJ3" s="27" t="s">
        <v>268</v>
      </c>
      <c r="GK3" s="27" t="s">
        <v>269</v>
      </c>
      <c r="GL3" s="27" t="s">
        <v>270</v>
      </c>
      <c r="GM3" s="27" t="s">
        <v>271</v>
      </c>
      <c r="GN3" s="27" t="s">
        <v>272</v>
      </c>
      <c r="GO3" s="27" t="s">
        <v>273</v>
      </c>
      <c r="GP3" s="27" t="s">
        <v>274</v>
      </c>
      <c r="GQ3" s="27" t="s">
        <v>275</v>
      </c>
      <c r="GR3" s="27" t="s">
        <v>276</v>
      </c>
      <c r="GS3" s="27" t="s">
        <v>277</v>
      </c>
      <c r="GT3" s="27" t="s">
        <v>278</v>
      </c>
      <c r="GU3" s="27" t="s">
        <v>279</v>
      </c>
      <c r="GV3" s="27" t="s">
        <v>280</v>
      </c>
      <c r="GW3" s="27" t="s">
        <v>281</v>
      </c>
      <c r="GX3" s="27" t="s">
        <v>282</v>
      </c>
      <c r="GY3" s="27" t="s">
        <v>283</v>
      </c>
      <c r="GZ3" s="27" t="s">
        <v>284</v>
      </c>
      <c r="HA3" s="27" t="s">
        <v>285</v>
      </c>
      <c r="HB3" s="27" t="s">
        <v>286</v>
      </c>
      <c r="HC3" s="27" t="s">
        <v>287</v>
      </c>
      <c r="HD3" s="27" t="s">
        <v>288</v>
      </c>
      <c r="HE3" s="27" t="s">
        <v>289</v>
      </c>
      <c r="HF3" s="27" t="s">
        <v>290</v>
      </c>
      <c r="HG3" s="27" t="s">
        <v>291</v>
      </c>
      <c r="HH3" s="27" t="s">
        <v>292</v>
      </c>
      <c r="HI3" s="75" t="s">
        <v>307</v>
      </c>
    </row>
    <row r="4" spans="1:218" x14ac:dyDescent="0.25">
      <c r="A4" s="22" t="s">
        <v>61</v>
      </c>
      <c r="B4" s="22" t="s">
        <v>61</v>
      </c>
      <c r="C4" s="22" t="s">
        <v>59</v>
      </c>
      <c r="D4" s="22" t="s">
        <v>60</v>
      </c>
      <c r="E4" s="22">
        <v>1</v>
      </c>
      <c r="F4" s="22">
        <v>0</v>
      </c>
      <c r="G4" s="22">
        <v>1</v>
      </c>
      <c r="H4" s="22">
        <v>0</v>
      </c>
      <c r="I4" s="22">
        <v>1</v>
      </c>
      <c r="J4" s="22">
        <v>1</v>
      </c>
      <c r="K4" s="17">
        <f>SUM(Table19[[#This Row],[Challenge 1]:[Challenge 50]])</f>
        <v>1</v>
      </c>
      <c r="L4" s="88">
        <f>SUM(Table19[[#This Row],[Club 1]:[Club 50]])</f>
        <v>1</v>
      </c>
      <c r="M4" s="88">
        <f>SUM(Table19[[#This Row],[Intra-school sports 1]:[Intra-school sports 50]])</f>
        <v>1</v>
      </c>
      <c r="N4" s="88">
        <f>SUM(Table19[[#This Row],[Inter School sports 1]:[Inter School sports 50]])</f>
        <v>1</v>
      </c>
      <c r="O4" s="17">
        <f>COUNTIF(Table19[[#This Row],[Community club (type name of club(s). All clubs will count as ''1'']],"*")</f>
        <v>1</v>
      </c>
      <c r="P4" s="17">
        <f>IF(OR(Table19[[#This Row],[Total Challenges]]&gt;0,Table19[[#This Row],[Total Ex-C Clubs]]&gt;0,Table19[[#This Row],[Total Intra-School Sports]]&gt;0,Table19[[#This Row],[Total Inter-School Sports]]&gt;0,Table19[[#This Row],[Community Clubs]]&gt;0),1,0)</f>
        <v>1</v>
      </c>
      <c r="Q4" s="22">
        <v>1</v>
      </c>
      <c r="R4" s="22">
        <v>0</v>
      </c>
      <c r="S4" s="22">
        <v>0</v>
      </c>
      <c r="T4" s="22">
        <v>0</v>
      </c>
      <c r="U4" s="22">
        <v>0</v>
      </c>
      <c r="V4" s="22">
        <v>0</v>
      </c>
      <c r="W4" s="22">
        <v>0</v>
      </c>
      <c r="X4" s="22">
        <v>0</v>
      </c>
      <c r="Y4" s="22">
        <v>0</v>
      </c>
      <c r="Z4" s="22">
        <v>0</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18">
        <v>1</v>
      </c>
      <c r="BP4" s="18">
        <v>0</v>
      </c>
      <c r="BQ4" s="18">
        <v>0</v>
      </c>
      <c r="BR4" s="18">
        <v>0</v>
      </c>
      <c r="BS4" s="18">
        <v>0</v>
      </c>
      <c r="BT4" s="18">
        <v>0</v>
      </c>
      <c r="BU4" s="18">
        <v>0</v>
      </c>
      <c r="BV4" s="18">
        <v>0</v>
      </c>
      <c r="BW4" s="18">
        <v>0</v>
      </c>
      <c r="BX4" s="18">
        <v>0</v>
      </c>
      <c r="BY4" s="18">
        <v>0</v>
      </c>
      <c r="BZ4" s="18">
        <v>0</v>
      </c>
      <c r="CA4" s="18">
        <v>0</v>
      </c>
      <c r="CB4" s="18">
        <v>0</v>
      </c>
      <c r="CC4" s="18">
        <v>0</v>
      </c>
      <c r="CD4" s="18">
        <v>0</v>
      </c>
      <c r="CE4" s="18">
        <v>0</v>
      </c>
      <c r="CF4" s="18">
        <v>0</v>
      </c>
      <c r="CG4" s="18">
        <v>0</v>
      </c>
      <c r="CH4" s="18">
        <v>0</v>
      </c>
      <c r="CI4" s="18">
        <v>0</v>
      </c>
      <c r="CJ4" s="18">
        <v>0</v>
      </c>
      <c r="CK4" s="18">
        <v>0</v>
      </c>
      <c r="CL4" s="18">
        <v>0</v>
      </c>
      <c r="CM4" s="18">
        <v>0</v>
      </c>
      <c r="CN4" s="18">
        <v>0</v>
      </c>
      <c r="CO4" s="18">
        <v>0</v>
      </c>
      <c r="CP4" s="18">
        <v>0</v>
      </c>
      <c r="CQ4" s="18">
        <v>0</v>
      </c>
      <c r="CR4" s="18">
        <v>0</v>
      </c>
      <c r="CS4" s="18">
        <v>0</v>
      </c>
      <c r="CT4" s="18">
        <v>0</v>
      </c>
      <c r="CU4" s="18">
        <v>0</v>
      </c>
      <c r="CV4" s="18">
        <v>0</v>
      </c>
      <c r="CW4" s="18">
        <v>0</v>
      </c>
      <c r="CX4" s="18">
        <v>0</v>
      </c>
      <c r="CY4" s="18">
        <v>0</v>
      </c>
      <c r="CZ4" s="18">
        <v>0</v>
      </c>
      <c r="DA4" s="18">
        <v>0</v>
      </c>
      <c r="DB4" s="18">
        <v>0</v>
      </c>
      <c r="DC4" s="18">
        <v>0</v>
      </c>
      <c r="DD4" s="18">
        <v>0</v>
      </c>
      <c r="DE4" s="18">
        <v>0</v>
      </c>
      <c r="DF4" s="18">
        <v>0</v>
      </c>
      <c r="DG4" s="18">
        <v>0</v>
      </c>
      <c r="DH4" s="18">
        <v>0</v>
      </c>
      <c r="DI4" s="18">
        <v>0</v>
      </c>
      <c r="DJ4" s="18">
        <v>0</v>
      </c>
      <c r="DK4" s="18">
        <v>0</v>
      </c>
      <c r="DL4" s="18">
        <v>0</v>
      </c>
      <c r="DM4" s="18">
        <v>1</v>
      </c>
      <c r="DN4" s="18">
        <v>0</v>
      </c>
      <c r="DO4" s="18">
        <v>0</v>
      </c>
      <c r="DP4" s="18">
        <v>0</v>
      </c>
      <c r="DQ4" s="18">
        <v>0</v>
      </c>
      <c r="DR4" s="18">
        <v>0</v>
      </c>
      <c r="DS4" s="18">
        <v>0</v>
      </c>
      <c r="DT4" s="18">
        <v>0</v>
      </c>
      <c r="DU4" s="18">
        <v>0</v>
      </c>
      <c r="DV4" s="18">
        <v>0</v>
      </c>
      <c r="DW4" s="18">
        <v>0</v>
      </c>
      <c r="DX4" s="18">
        <v>0</v>
      </c>
      <c r="DY4" s="18">
        <v>0</v>
      </c>
      <c r="DZ4" s="18">
        <v>0</v>
      </c>
      <c r="EA4" s="18">
        <v>0</v>
      </c>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v>1</v>
      </c>
      <c r="FL4" s="18">
        <v>0</v>
      </c>
      <c r="FM4" s="18">
        <v>0</v>
      </c>
      <c r="FN4" s="18">
        <v>0</v>
      </c>
      <c r="FO4" s="18">
        <v>0</v>
      </c>
      <c r="FP4" s="18">
        <v>0</v>
      </c>
      <c r="FQ4" s="18">
        <v>0</v>
      </c>
      <c r="FR4" s="18">
        <v>0</v>
      </c>
      <c r="FS4" s="18">
        <v>0</v>
      </c>
      <c r="FT4" s="18">
        <v>0</v>
      </c>
      <c r="FU4" s="18">
        <v>0</v>
      </c>
      <c r="FV4" s="18">
        <v>0</v>
      </c>
      <c r="FW4" s="18">
        <v>0</v>
      </c>
      <c r="FX4" s="18">
        <v>0</v>
      </c>
      <c r="FY4" s="18">
        <v>0</v>
      </c>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t="s">
        <v>333</v>
      </c>
    </row>
    <row r="5" spans="1:218" x14ac:dyDescent="0.25">
      <c r="A5" s="22" t="s">
        <v>61</v>
      </c>
      <c r="B5" s="22" t="s">
        <v>61</v>
      </c>
      <c r="C5" s="22" t="s">
        <v>59</v>
      </c>
      <c r="D5" s="22" t="s">
        <v>60</v>
      </c>
      <c r="E5" s="22">
        <v>1</v>
      </c>
      <c r="F5" s="22"/>
      <c r="G5" s="22"/>
      <c r="H5" s="22"/>
      <c r="I5" s="22"/>
      <c r="J5" s="22"/>
      <c r="K5" s="17">
        <f>SUM(Table19[[#This Row],[Challenge 1]:[Challenge 50]])</f>
        <v>1</v>
      </c>
      <c r="L5" s="88">
        <f>SUM(Table19[[#This Row],[Club 1]:[Club 50]])</f>
        <v>1</v>
      </c>
      <c r="M5" s="88">
        <f>SUM(Table19[[#This Row],[Intra-school sports 1]:[Intra-school sports 50]])</f>
        <v>0</v>
      </c>
      <c r="N5" s="88">
        <f>SUM(Table19[[#This Row],[Inter School sports 1]:[Inter School sports 50]])</f>
        <v>1</v>
      </c>
      <c r="O5" s="17">
        <f>COUNTIF(Table19[[#This Row],[Community club (type name of club(s). All clubs will count as ''1'']],"*")</f>
        <v>0</v>
      </c>
      <c r="P5" s="17">
        <f>IF(OR(Table19[[#This Row],[Total Challenges]]&gt;0,Table19[[#This Row],[Total Ex-C Clubs]]&gt;0,Table19[[#This Row],[Total Intra-School Sports]]&gt;0,Table19[[#This Row],[Total Inter-School Sports]]&gt;0,Table19[[#This Row],[Community Clubs]]&gt;0),1,0)</f>
        <v>1</v>
      </c>
      <c r="Q5" s="22">
        <v>1</v>
      </c>
      <c r="R5" s="22"/>
      <c r="S5" s="22"/>
      <c r="T5" s="22"/>
      <c r="U5" s="22"/>
      <c r="V5" s="22"/>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v>1</v>
      </c>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v>0</v>
      </c>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v>1</v>
      </c>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row>
    <row r="6" spans="1:218" x14ac:dyDescent="0.25">
      <c r="A6" s="22" t="s">
        <v>61</v>
      </c>
      <c r="B6" s="22" t="s">
        <v>61</v>
      </c>
      <c r="C6" s="22" t="s">
        <v>311</v>
      </c>
      <c r="D6" s="22" t="s">
        <v>60</v>
      </c>
      <c r="E6" s="22">
        <v>1</v>
      </c>
      <c r="F6" s="22"/>
      <c r="G6" s="22"/>
      <c r="H6" s="22"/>
      <c r="I6" s="22"/>
      <c r="J6" s="22"/>
      <c r="K6" s="17">
        <f>SUM(Table19[[#This Row],[Challenge 1]:[Challenge 50]])</f>
        <v>1</v>
      </c>
      <c r="L6" s="88">
        <f>SUM(Table19[[#This Row],[Club 1]:[Club 50]])</f>
        <v>1</v>
      </c>
      <c r="M6" s="88">
        <f>SUM(Table19[[#This Row],[Intra-school sports 1]:[Intra-school sports 50]])</f>
        <v>0</v>
      </c>
      <c r="N6" s="88">
        <f>SUM(Table19[[#This Row],[Inter School sports 1]:[Inter School sports 50]])</f>
        <v>1</v>
      </c>
      <c r="O6" s="17">
        <f>COUNTIF(Table19[[#This Row],[Community club (type name of club(s). All clubs will count as ''1'']],"*")</f>
        <v>0</v>
      </c>
      <c r="P6" s="17">
        <f>IF(OR(Table19[[#This Row],[Total Challenges]]&gt;0,Table19[[#This Row],[Total Ex-C Clubs]]&gt;0,Table19[[#This Row],[Total Intra-School Sports]]&gt;0,Table19[[#This Row],[Total Inter-School Sports]]&gt;0,Table19[[#This Row],[Community Clubs]]&gt;0),1,0)</f>
        <v>1</v>
      </c>
      <c r="Q6" s="22">
        <v>1</v>
      </c>
      <c r="R6" s="22"/>
      <c r="S6" s="22"/>
      <c r="T6" s="22"/>
      <c r="U6" s="22"/>
      <c r="V6" s="22"/>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v>1</v>
      </c>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v>0</v>
      </c>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v>1</v>
      </c>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row>
    <row r="7" spans="1:218" x14ac:dyDescent="0.25">
      <c r="A7" s="22" t="s">
        <v>61</v>
      </c>
      <c r="B7" s="22" t="s">
        <v>61</v>
      </c>
      <c r="C7" s="22" t="s">
        <v>311</v>
      </c>
      <c r="D7" s="22" t="s">
        <v>60</v>
      </c>
      <c r="E7" s="22">
        <v>1</v>
      </c>
      <c r="F7" s="22"/>
      <c r="G7" s="22"/>
      <c r="H7" s="22"/>
      <c r="I7" s="22"/>
      <c r="J7" s="22"/>
      <c r="K7" s="17">
        <f>SUM(Table19[[#This Row],[Challenge 1]:[Challenge 50]])</f>
        <v>1</v>
      </c>
      <c r="L7" s="88">
        <f>SUM(Table19[[#This Row],[Club 1]:[Club 50]])</f>
        <v>0</v>
      </c>
      <c r="M7" s="88">
        <f>SUM(Table19[[#This Row],[Intra-school sports 1]:[Intra-school sports 50]])</f>
        <v>1</v>
      </c>
      <c r="N7" s="88">
        <f>SUM(Table19[[#This Row],[Inter School sports 1]:[Inter School sports 50]])</f>
        <v>1</v>
      </c>
      <c r="O7" s="17">
        <f>COUNTIF(Table19[[#This Row],[Community club (type name of club(s). All clubs will count as ''1'']],"*")</f>
        <v>0</v>
      </c>
      <c r="P7" s="17">
        <f>IF(OR(Table19[[#This Row],[Total Challenges]]&gt;0,Table19[[#This Row],[Total Ex-C Clubs]]&gt;0,Table19[[#This Row],[Total Intra-School Sports]]&gt;0,Table19[[#This Row],[Total Inter-School Sports]]&gt;0,Table19[[#This Row],[Community Clubs]]&gt;0),1,0)</f>
        <v>1</v>
      </c>
      <c r="Q7" s="22">
        <v>1</v>
      </c>
      <c r="R7" s="22"/>
      <c r="S7" s="22"/>
      <c r="T7" s="22"/>
      <c r="U7" s="22"/>
      <c r="V7" s="22"/>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v>0</v>
      </c>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v>1</v>
      </c>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v>1</v>
      </c>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row>
    <row r="8" spans="1:218" x14ac:dyDescent="0.25">
      <c r="A8" s="22" t="s">
        <v>61</v>
      </c>
      <c r="B8" s="22" t="s">
        <v>61</v>
      </c>
      <c r="C8" s="22" t="s">
        <v>311</v>
      </c>
      <c r="D8" s="22" t="s">
        <v>60</v>
      </c>
      <c r="E8" s="22">
        <v>1</v>
      </c>
      <c r="F8" s="22"/>
      <c r="G8" s="22"/>
      <c r="H8" s="22"/>
      <c r="I8" s="22"/>
      <c r="J8" s="22"/>
      <c r="K8" s="17">
        <f>SUM(Table19[[#This Row],[Challenge 1]:[Challenge 50]])</f>
        <v>1</v>
      </c>
      <c r="L8" s="88">
        <f>SUM(Table19[[#This Row],[Club 1]:[Club 50]])</f>
        <v>1</v>
      </c>
      <c r="M8" s="88">
        <f>SUM(Table19[[#This Row],[Intra-school sports 1]:[Intra-school sports 50]])</f>
        <v>1</v>
      </c>
      <c r="N8" s="88">
        <f>SUM(Table19[[#This Row],[Inter School sports 1]:[Inter School sports 50]])</f>
        <v>1</v>
      </c>
      <c r="O8" s="17">
        <f>COUNTIF(Table19[[#This Row],[Community club (type name of club(s). All clubs will count as ''1'']],"*")</f>
        <v>0</v>
      </c>
      <c r="P8" s="17">
        <f>IF(OR(Table19[[#This Row],[Total Challenges]]&gt;0,Table19[[#This Row],[Total Ex-C Clubs]]&gt;0,Table19[[#This Row],[Total Intra-School Sports]]&gt;0,Table19[[#This Row],[Total Inter-School Sports]]&gt;0,Table19[[#This Row],[Community Clubs]]&gt;0),1,0)</f>
        <v>1</v>
      </c>
      <c r="Q8" s="22">
        <v>1</v>
      </c>
      <c r="R8" s="22"/>
      <c r="S8" s="22"/>
      <c r="T8" s="22"/>
      <c r="U8" s="22"/>
      <c r="V8" s="22"/>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v>1</v>
      </c>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v>1</v>
      </c>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v>1</v>
      </c>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21"/>
    </row>
    <row r="9" spans="1:218" x14ac:dyDescent="0.25">
      <c r="A9" s="22"/>
      <c r="B9" s="22"/>
      <c r="C9" s="22"/>
      <c r="D9" s="22"/>
      <c r="E9" s="22"/>
      <c r="F9" s="22"/>
      <c r="G9" s="22"/>
      <c r="H9" s="22"/>
      <c r="I9" s="22"/>
      <c r="J9" s="22"/>
      <c r="K9" s="17">
        <f>SUM(Table19[[#This Row],[Challenge 1]:[Challenge 50]])</f>
        <v>0</v>
      </c>
      <c r="L9" s="88">
        <f>SUM(Table19[[#This Row],[Club 1]:[Club 50]])</f>
        <v>0</v>
      </c>
      <c r="M9" s="88">
        <f>SUM(Table19[[#This Row],[Intra-school sports 1]:[Intra-school sports 50]])</f>
        <v>0</v>
      </c>
      <c r="N9" s="88">
        <f>SUM(Table19[[#This Row],[Inter School sports 1]:[Inter School sports 50]])</f>
        <v>0</v>
      </c>
      <c r="O9" s="17">
        <f>COUNTIF(Table19[[#This Row],[Community club (type name of club(s). All clubs will count as ''1'']],"*")</f>
        <v>0</v>
      </c>
      <c r="P9" s="17">
        <f>IF(OR(Table19[[#This Row],[Total Challenges]]&gt;0,Table19[[#This Row],[Total Ex-C Clubs]]&gt;0,Table19[[#This Row],[Total Intra-School Sports]]&gt;0,Table19[[#This Row],[Total Inter-School Sports]]&gt;0,Table19[[#This Row],[Community Clubs]]&gt;0),1,0)</f>
        <v>0</v>
      </c>
      <c r="Q9" s="22"/>
      <c r="R9" s="22"/>
      <c r="S9" s="22"/>
      <c r="T9" s="22"/>
      <c r="U9" s="22"/>
      <c r="V9" s="22"/>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21"/>
    </row>
    <row r="10" spans="1:218" x14ac:dyDescent="0.25">
      <c r="A10" s="22"/>
      <c r="B10" s="22"/>
      <c r="C10" s="22"/>
      <c r="D10" s="22"/>
      <c r="E10" s="22"/>
      <c r="F10" s="22"/>
      <c r="G10" s="22"/>
      <c r="H10" s="22"/>
      <c r="I10" s="22"/>
      <c r="J10" s="22"/>
      <c r="K10" s="17">
        <f>SUM(Table19[[#This Row],[Challenge 1]:[Challenge 50]])</f>
        <v>0</v>
      </c>
      <c r="L10" s="88">
        <f>SUM(Table19[[#This Row],[Club 1]:[Club 50]])</f>
        <v>0</v>
      </c>
      <c r="M10" s="88">
        <f>SUM(Table19[[#This Row],[Intra-school sports 1]:[Intra-school sports 50]])</f>
        <v>0</v>
      </c>
      <c r="N10" s="88">
        <f>SUM(Table19[[#This Row],[Inter School sports 1]:[Inter School sports 50]])</f>
        <v>0</v>
      </c>
      <c r="O10" s="17">
        <f>COUNTIF(Table19[[#This Row],[Community club (type name of club(s). All clubs will count as ''1'']],"*")</f>
        <v>0</v>
      </c>
      <c r="P10" s="17">
        <f>IF(OR(Table19[[#This Row],[Total Challenges]]&gt;0,Table19[[#This Row],[Total Ex-C Clubs]]&gt;0,Table19[[#This Row],[Total Intra-School Sports]]&gt;0,Table19[[#This Row],[Total Inter-School Sports]]&gt;0,Table19[[#This Row],[Community Clubs]]&gt;0),1,0)</f>
        <v>0</v>
      </c>
      <c r="Q10" s="22"/>
      <c r="R10" s="22"/>
      <c r="S10" s="22"/>
      <c r="T10" s="22"/>
      <c r="U10" s="22"/>
      <c r="V10" s="22"/>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21"/>
    </row>
    <row r="11" spans="1:218" x14ac:dyDescent="0.25">
      <c r="A11" s="22"/>
      <c r="B11" s="22"/>
      <c r="C11" s="22"/>
      <c r="D11" s="22"/>
      <c r="E11" s="22"/>
      <c r="F11" s="22"/>
      <c r="G11" s="22"/>
      <c r="H11" s="22"/>
      <c r="I11" s="22"/>
      <c r="J11" s="22"/>
      <c r="K11" s="17">
        <f>SUM(Table19[[#This Row],[Challenge 1]:[Challenge 50]])</f>
        <v>0</v>
      </c>
      <c r="L11" s="88">
        <f>SUM(Table19[[#This Row],[Club 1]:[Club 50]])</f>
        <v>0</v>
      </c>
      <c r="M11" s="88">
        <f>SUM(Table19[[#This Row],[Intra-school sports 1]:[Intra-school sports 50]])</f>
        <v>0</v>
      </c>
      <c r="N11" s="88">
        <f>SUM(Table19[[#This Row],[Inter School sports 1]:[Inter School sports 50]])</f>
        <v>0</v>
      </c>
      <c r="O11" s="17">
        <f>COUNTIF(Table19[[#This Row],[Community club (type name of club(s). All clubs will count as ''1'']],"*")</f>
        <v>0</v>
      </c>
      <c r="P11" s="17">
        <f>IF(OR(Table19[[#This Row],[Total Challenges]]&gt;0,Table19[[#This Row],[Total Ex-C Clubs]]&gt;0,Table19[[#This Row],[Total Intra-School Sports]]&gt;0,Table19[[#This Row],[Total Inter-School Sports]]&gt;0,Table19[[#This Row],[Community Clubs]]&gt;0),1,0)</f>
        <v>0</v>
      </c>
      <c r="Q11" s="22"/>
      <c r="R11" s="22"/>
      <c r="S11" s="22"/>
      <c r="T11" s="22"/>
      <c r="U11" s="22"/>
      <c r="V11" s="22"/>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21"/>
    </row>
    <row r="12" spans="1:218" x14ac:dyDescent="0.25">
      <c r="A12" s="22"/>
      <c r="B12" s="22"/>
      <c r="C12" s="22"/>
      <c r="D12" s="22"/>
      <c r="E12" s="22"/>
      <c r="F12" s="22"/>
      <c r="G12" s="22"/>
      <c r="H12" s="22"/>
      <c r="I12" s="22"/>
      <c r="J12" s="22"/>
      <c r="K12" s="17">
        <f>SUM(Table19[[#This Row],[Challenge 1]:[Challenge 50]])</f>
        <v>0</v>
      </c>
      <c r="L12" s="88">
        <f>SUM(Table19[[#This Row],[Club 1]:[Club 50]])</f>
        <v>0</v>
      </c>
      <c r="M12" s="88">
        <f>SUM(Table19[[#This Row],[Intra-school sports 1]:[Intra-school sports 50]])</f>
        <v>0</v>
      </c>
      <c r="N12" s="88">
        <f>SUM(Table19[[#This Row],[Inter School sports 1]:[Inter School sports 50]])</f>
        <v>0</v>
      </c>
      <c r="O12" s="17">
        <f>COUNTIF(Table19[[#This Row],[Community club (type name of club(s). All clubs will count as ''1'']],"*")</f>
        <v>0</v>
      </c>
      <c r="P12" s="17">
        <f>IF(OR(Table19[[#This Row],[Total Challenges]]&gt;0,Table19[[#This Row],[Total Ex-C Clubs]]&gt;0,Table19[[#This Row],[Total Intra-School Sports]]&gt;0,Table19[[#This Row],[Total Inter-School Sports]]&gt;0,Table19[[#This Row],[Community Clubs]]&gt;0),1,0)</f>
        <v>0</v>
      </c>
      <c r="Q12" s="22"/>
      <c r="R12" s="22"/>
      <c r="S12" s="22"/>
      <c r="T12" s="22"/>
      <c r="U12" s="22"/>
      <c r="V12" s="22"/>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21"/>
    </row>
    <row r="13" spans="1:218" x14ac:dyDescent="0.25">
      <c r="A13" s="22"/>
      <c r="B13" s="22"/>
      <c r="C13" s="22"/>
      <c r="D13" s="22"/>
      <c r="E13" s="22"/>
      <c r="F13" s="22"/>
      <c r="G13" s="22"/>
      <c r="H13" s="22"/>
      <c r="I13" s="22"/>
      <c r="J13" s="22"/>
      <c r="K13" s="17">
        <f>SUM(Table19[[#This Row],[Challenge 1]:[Challenge 50]])</f>
        <v>0</v>
      </c>
      <c r="L13" s="88">
        <f>SUM(Table19[[#This Row],[Club 1]:[Club 50]])</f>
        <v>0</v>
      </c>
      <c r="M13" s="88">
        <f>SUM(Table19[[#This Row],[Intra-school sports 1]:[Intra-school sports 50]])</f>
        <v>0</v>
      </c>
      <c r="N13" s="88">
        <f>SUM(Table19[[#This Row],[Inter School sports 1]:[Inter School sports 50]])</f>
        <v>0</v>
      </c>
      <c r="O13" s="17">
        <f>COUNTIF(Table19[[#This Row],[Community club (type name of club(s). All clubs will count as ''1'']],"*")</f>
        <v>0</v>
      </c>
      <c r="P13" s="17">
        <f>IF(OR(Table19[[#This Row],[Total Challenges]]&gt;0,Table19[[#This Row],[Total Ex-C Clubs]]&gt;0,Table19[[#This Row],[Total Intra-School Sports]]&gt;0,Table19[[#This Row],[Total Inter-School Sports]]&gt;0,Table19[[#This Row],[Community Clubs]]&gt;0),1,0)</f>
        <v>0</v>
      </c>
      <c r="Q13" s="22"/>
      <c r="R13" s="22"/>
      <c r="S13" s="22"/>
      <c r="T13" s="22"/>
      <c r="U13" s="22"/>
      <c r="V13" s="22"/>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21"/>
    </row>
    <row r="14" spans="1:218" x14ac:dyDescent="0.25">
      <c r="A14" s="22"/>
      <c r="B14" s="22"/>
      <c r="C14" s="22"/>
      <c r="D14" s="22"/>
      <c r="E14" s="22"/>
      <c r="F14" s="22"/>
      <c r="G14" s="22"/>
      <c r="H14" s="22"/>
      <c r="I14" s="22"/>
      <c r="J14" s="22"/>
      <c r="K14" s="17">
        <f>SUM(Table19[[#This Row],[Challenge 1]:[Challenge 50]])</f>
        <v>0</v>
      </c>
      <c r="L14" s="88">
        <f>SUM(Table19[[#This Row],[Club 1]:[Club 50]])</f>
        <v>0</v>
      </c>
      <c r="M14" s="88">
        <f>SUM(Table19[[#This Row],[Intra-school sports 1]:[Intra-school sports 50]])</f>
        <v>0</v>
      </c>
      <c r="N14" s="88">
        <f>SUM(Table19[[#This Row],[Inter School sports 1]:[Inter School sports 50]])</f>
        <v>0</v>
      </c>
      <c r="O14" s="17">
        <f>COUNTIF(Table19[[#This Row],[Community club (type name of club(s). All clubs will count as ''1'']],"*")</f>
        <v>0</v>
      </c>
      <c r="P14" s="17">
        <f>IF(OR(Table19[[#This Row],[Total Challenges]]&gt;0,Table19[[#This Row],[Total Ex-C Clubs]]&gt;0,Table19[[#This Row],[Total Intra-School Sports]]&gt;0,Table19[[#This Row],[Total Inter-School Sports]]&gt;0,Table19[[#This Row],[Community Clubs]]&gt;0),1,0)</f>
        <v>0</v>
      </c>
      <c r="Q14" s="22"/>
      <c r="R14" s="22"/>
      <c r="S14" s="22"/>
      <c r="T14" s="22"/>
      <c r="U14" s="22"/>
      <c r="V14" s="22"/>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21"/>
    </row>
    <row r="15" spans="1:218" x14ac:dyDescent="0.25">
      <c r="A15" s="22"/>
      <c r="B15" s="22"/>
      <c r="C15" s="22"/>
      <c r="D15" s="22"/>
      <c r="E15" s="22"/>
      <c r="F15" s="22"/>
      <c r="G15" s="22"/>
      <c r="H15" s="22"/>
      <c r="I15" s="22"/>
      <c r="J15" s="22"/>
      <c r="K15" s="17">
        <f>SUM(Table19[[#This Row],[Challenge 1]:[Challenge 50]])</f>
        <v>0</v>
      </c>
      <c r="L15" s="88">
        <f>SUM(Table19[[#This Row],[Club 1]:[Club 50]])</f>
        <v>0</v>
      </c>
      <c r="M15" s="88">
        <f>SUM(Table19[[#This Row],[Intra-school sports 1]:[Intra-school sports 50]])</f>
        <v>0</v>
      </c>
      <c r="N15" s="88">
        <f>SUM(Table19[[#This Row],[Inter School sports 1]:[Inter School sports 50]])</f>
        <v>0</v>
      </c>
      <c r="O15" s="17">
        <f>COUNTIF(Table19[[#This Row],[Community club (type name of club(s). All clubs will count as ''1'']],"*")</f>
        <v>0</v>
      </c>
      <c r="P15" s="17">
        <f>IF(OR(Table19[[#This Row],[Total Challenges]]&gt;0,Table19[[#This Row],[Total Ex-C Clubs]]&gt;0,Table19[[#This Row],[Total Intra-School Sports]]&gt;0,Table19[[#This Row],[Total Inter-School Sports]]&gt;0,Table19[[#This Row],[Community Clubs]]&gt;0),1,0)</f>
        <v>0</v>
      </c>
      <c r="Q15" s="22"/>
      <c r="R15" s="22"/>
      <c r="S15" s="22"/>
      <c r="T15" s="22"/>
      <c r="U15" s="22"/>
      <c r="V15" s="22"/>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21"/>
    </row>
    <row r="16" spans="1:218" x14ac:dyDescent="0.25">
      <c r="A16" s="22"/>
      <c r="B16" s="22"/>
      <c r="C16" s="22"/>
      <c r="D16" s="22"/>
      <c r="E16" s="22"/>
      <c r="F16" s="22"/>
      <c r="G16" s="22"/>
      <c r="H16" s="22"/>
      <c r="I16" s="22"/>
      <c r="J16" s="22"/>
      <c r="K16" s="17">
        <f>SUM(Table19[[#This Row],[Challenge 1]:[Challenge 50]])</f>
        <v>0</v>
      </c>
      <c r="L16" s="88">
        <f>SUM(Table19[[#This Row],[Club 1]:[Club 50]])</f>
        <v>0</v>
      </c>
      <c r="M16" s="88">
        <f>SUM(Table19[[#This Row],[Intra-school sports 1]:[Intra-school sports 50]])</f>
        <v>0</v>
      </c>
      <c r="N16" s="88">
        <f>SUM(Table19[[#This Row],[Inter School sports 1]:[Inter School sports 50]])</f>
        <v>0</v>
      </c>
      <c r="O16" s="17">
        <f>COUNTIF(Table19[[#This Row],[Community club (type name of club(s). All clubs will count as ''1'']],"*")</f>
        <v>0</v>
      </c>
      <c r="P16" s="17">
        <f>IF(OR(Table19[[#This Row],[Total Challenges]]&gt;0,Table19[[#This Row],[Total Ex-C Clubs]]&gt;0,Table19[[#This Row],[Total Intra-School Sports]]&gt;0,Table19[[#This Row],[Total Inter-School Sports]]&gt;0,Table19[[#This Row],[Community Clubs]]&gt;0),1,0)</f>
        <v>0</v>
      </c>
      <c r="Q16" s="22"/>
      <c r="R16" s="22"/>
      <c r="S16" s="22"/>
      <c r="T16" s="22"/>
      <c r="U16" s="22"/>
      <c r="V16" s="22"/>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21"/>
    </row>
    <row r="17" spans="1:218" x14ac:dyDescent="0.25">
      <c r="A17" s="22"/>
      <c r="B17" s="22"/>
      <c r="C17" s="22"/>
      <c r="D17" s="22"/>
      <c r="E17" s="22"/>
      <c r="F17" s="22"/>
      <c r="G17" s="22"/>
      <c r="H17" s="22"/>
      <c r="I17" s="22"/>
      <c r="J17" s="22"/>
      <c r="K17" s="17">
        <f>SUM(Table19[[#This Row],[Challenge 1]:[Challenge 50]])</f>
        <v>0</v>
      </c>
      <c r="L17" s="88">
        <f>SUM(Table19[[#This Row],[Club 1]:[Club 50]])</f>
        <v>0</v>
      </c>
      <c r="M17" s="88">
        <f>SUM(Table19[[#This Row],[Intra-school sports 1]:[Intra-school sports 50]])</f>
        <v>0</v>
      </c>
      <c r="N17" s="88">
        <f>SUM(Table19[[#This Row],[Inter School sports 1]:[Inter School sports 50]])</f>
        <v>0</v>
      </c>
      <c r="O17" s="17">
        <f>COUNTIF(Table19[[#This Row],[Community club (type name of club(s). All clubs will count as ''1'']],"*")</f>
        <v>0</v>
      </c>
      <c r="P17" s="17">
        <f>IF(OR(Table19[[#This Row],[Total Challenges]]&gt;0,Table19[[#This Row],[Total Ex-C Clubs]]&gt;0,Table19[[#This Row],[Total Intra-School Sports]]&gt;0,Table19[[#This Row],[Total Inter-School Sports]]&gt;0,Table19[[#This Row],[Community Clubs]]&gt;0),1,0)</f>
        <v>0</v>
      </c>
      <c r="Q17" s="22"/>
      <c r="R17" s="22"/>
      <c r="S17" s="22"/>
      <c r="T17" s="22"/>
      <c r="U17" s="22"/>
      <c r="V17" s="22"/>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21"/>
    </row>
    <row r="18" spans="1:218" x14ac:dyDescent="0.25">
      <c r="A18" s="22"/>
      <c r="B18" s="22"/>
      <c r="C18" s="22"/>
      <c r="D18" s="22"/>
      <c r="E18" s="22"/>
      <c r="F18" s="22"/>
      <c r="G18" s="22"/>
      <c r="H18" s="22"/>
      <c r="I18" s="22"/>
      <c r="J18" s="22"/>
      <c r="K18" s="17">
        <f>SUM(Table19[[#This Row],[Challenge 1]:[Challenge 50]])</f>
        <v>0</v>
      </c>
      <c r="L18" s="88">
        <f>SUM(Table19[[#This Row],[Club 1]:[Club 50]])</f>
        <v>0</v>
      </c>
      <c r="M18" s="88">
        <f>SUM(Table19[[#This Row],[Intra-school sports 1]:[Intra-school sports 50]])</f>
        <v>0</v>
      </c>
      <c r="N18" s="88">
        <f>SUM(Table19[[#This Row],[Inter School sports 1]:[Inter School sports 50]])</f>
        <v>0</v>
      </c>
      <c r="O18" s="17">
        <f>COUNTIF(Table19[[#This Row],[Community club (type name of club(s). All clubs will count as ''1'']],"*")</f>
        <v>0</v>
      </c>
      <c r="P18" s="17">
        <f>IF(OR(Table19[[#This Row],[Total Challenges]]&gt;0,Table19[[#This Row],[Total Ex-C Clubs]]&gt;0,Table19[[#This Row],[Total Intra-School Sports]]&gt;0,Table19[[#This Row],[Total Inter-School Sports]]&gt;0,Table19[[#This Row],[Community Clubs]]&gt;0),1,0)</f>
        <v>0</v>
      </c>
      <c r="Q18" s="22"/>
      <c r="R18" s="22"/>
      <c r="S18" s="22"/>
      <c r="T18" s="22"/>
      <c r="U18" s="22"/>
      <c r="V18" s="22"/>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21"/>
    </row>
    <row r="19" spans="1:218" x14ac:dyDescent="0.25">
      <c r="A19" s="22"/>
      <c r="B19" s="22"/>
      <c r="C19" s="22"/>
      <c r="D19" s="22"/>
      <c r="E19" s="22"/>
      <c r="F19" s="22"/>
      <c r="G19" s="22"/>
      <c r="H19" s="22"/>
      <c r="I19" s="22"/>
      <c r="J19" s="22"/>
      <c r="K19" s="17">
        <f>SUM(Table19[[#This Row],[Challenge 1]:[Challenge 50]])</f>
        <v>0</v>
      </c>
      <c r="L19" s="88">
        <f>SUM(Table19[[#This Row],[Club 1]:[Club 50]])</f>
        <v>0</v>
      </c>
      <c r="M19" s="88">
        <f>SUM(Table19[[#This Row],[Intra-school sports 1]:[Intra-school sports 50]])</f>
        <v>0</v>
      </c>
      <c r="N19" s="88">
        <f>SUM(Table19[[#This Row],[Inter School sports 1]:[Inter School sports 50]])</f>
        <v>0</v>
      </c>
      <c r="O19" s="17">
        <f>COUNTIF(Table19[[#This Row],[Community club (type name of club(s). All clubs will count as ''1'']],"*")</f>
        <v>0</v>
      </c>
      <c r="P19" s="17">
        <f>IF(OR(Table19[[#This Row],[Total Challenges]]&gt;0,Table19[[#This Row],[Total Ex-C Clubs]]&gt;0,Table19[[#This Row],[Total Intra-School Sports]]&gt;0,Table19[[#This Row],[Total Inter-School Sports]]&gt;0,Table19[[#This Row],[Community Clubs]]&gt;0),1,0)</f>
        <v>0</v>
      </c>
      <c r="Q19" s="22"/>
      <c r="R19" s="22"/>
      <c r="S19" s="22"/>
      <c r="T19" s="22"/>
      <c r="U19" s="22"/>
      <c r="V19" s="22"/>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21"/>
    </row>
    <row r="20" spans="1:218" x14ac:dyDescent="0.25">
      <c r="A20" s="22"/>
      <c r="B20" s="22"/>
      <c r="C20" s="22"/>
      <c r="D20" s="22"/>
      <c r="E20" s="22"/>
      <c r="F20" s="22"/>
      <c r="G20" s="22"/>
      <c r="H20" s="22"/>
      <c r="I20" s="22"/>
      <c r="J20" s="22"/>
      <c r="K20" s="17">
        <f>SUM(Table19[[#This Row],[Challenge 1]:[Challenge 50]])</f>
        <v>0</v>
      </c>
      <c r="L20" s="88">
        <f>SUM(Table19[[#This Row],[Club 1]:[Club 50]])</f>
        <v>0</v>
      </c>
      <c r="M20" s="88">
        <f>SUM(Table19[[#This Row],[Intra-school sports 1]:[Intra-school sports 50]])</f>
        <v>0</v>
      </c>
      <c r="N20" s="88">
        <f>SUM(Table19[[#This Row],[Inter School sports 1]:[Inter School sports 50]])</f>
        <v>0</v>
      </c>
      <c r="O20" s="17">
        <f>COUNTIF(Table19[[#This Row],[Community club (type name of club(s). All clubs will count as ''1'']],"*")</f>
        <v>0</v>
      </c>
      <c r="P20" s="17">
        <f>IF(OR(Table19[[#This Row],[Total Challenges]]&gt;0,Table19[[#This Row],[Total Ex-C Clubs]]&gt;0,Table19[[#This Row],[Total Intra-School Sports]]&gt;0,Table19[[#This Row],[Total Inter-School Sports]]&gt;0,Table19[[#This Row],[Community Clubs]]&gt;0),1,0)</f>
        <v>0</v>
      </c>
      <c r="Q20" s="22"/>
      <c r="R20" s="22"/>
      <c r="S20" s="22"/>
      <c r="T20" s="22"/>
      <c r="U20" s="22"/>
      <c r="V20" s="22"/>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21"/>
    </row>
    <row r="21" spans="1:218" x14ac:dyDescent="0.25">
      <c r="A21" s="22"/>
      <c r="B21" s="22"/>
      <c r="C21" s="22"/>
      <c r="D21" s="22"/>
      <c r="E21" s="22"/>
      <c r="F21" s="22"/>
      <c r="G21" s="22"/>
      <c r="H21" s="22"/>
      <c r="I21" s="22"/>
      <c r="J21" s="22"/>
      <c r="K21" s="17">
        <f>SUM(Table19[[#This Row],[Challenge 1]:[Challenge 50]])</f>
        <v>0</v>
      </c>
      <c r="L21" s="88">
        <f>SUM(Table19[[#This Row],[Club 1]:[Club 50]])</f>
        <v>0</v>
      </c>
      <c r="M21" s="88">
        <f>SUM(Table19[[#This Row],[Intra-school sports 1]:[Intra-school sports 50]])</f>
        <v>0</v>
      </c>
      <c r="N21" s="88">
        <f>SUM(Table19[[#This Row],[Inter School sports 1]:[Inter School sports 50]])</f>
        <v>0</v>
      </c>
      <c r="O21" s="17">
        <f>COUNTIF(Table19[[#This Row],[Community club (type name of club(s). All clubs will count as ''1'']],"*")</f>
        <v>0</v>
      </c>
      <c r="P21" s="17">
        <f>IF(OR(Table19[[#This Row],[Total Challenges]]&gt;0,Table19[[#This Row],[Total Ex-C Clubs]]&gt;0,Table19[[#This Row],[Total Intra-School Sports]]&gt;0,Table19[[#This Row],[Total Inter-School Sports]]&gt;0,Table19[[#This Row],[Community Clubs]]&gt;0),1,0)</f>
        <v>0</v>
      </c>
      <c r="Q21" s="22"/>
      <c r="R21" s="22"/>
      <c r="S21" s="22"/>
      <c r="T21" s="22"/>
      <c r="U21" s="22"/>
      <c r="V21" s="22"/>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21"/>
    </row>
    <row r="22" spans="1:218" x14ac:dyDescent="0.25">
      <c r="A22" s="22"/>
      <c r="B22" s="22"/>
      <c r="C22" s="22"/>
      <c r="D22" s="22"/>
      <c r="E22" s="22"/>
      <c r="F22" s="22"/>
      <c r="G22" s="22"/>
      <c r="H22" s="22"/>
      <c r="I22" s="22"/>
      <c r="J22" s="22"/>
      <c r="K22" s="17">
        <f>SUM(Table19[[#This Row],[Challenge 1]:[Challenge 50]])</f>
        <v>0</v>
      </c>
      <c r="L22" s="88">
        <f>SUM(Table19[[#This Row],[Club 1]:[Club 50]])</f>
        <v>0</v>
      </c>
      <c r="M22" s="88">
        <f>SUM(Table19[[#This Row],[Intra-school sports 1]:[Intra-school sports 50]])</f>
        <v>0</v>
      </c>
      <c r="N22" s="88">
        <f>SUM(Table19[[#This Row],[Inter School sports 1]:[Inter School sports 50]])</f>
        <v>0</v>
      </c>
      <c r="O22" s="17">
        <f>COUNTIF(Table19[[#This Row],[Community club (type name of club(s). All clubs will count as ''1'']],"*")</f>
        <v>0</v>
      </c>
      <c r="P22" s="17">
        <f>IF(OR(Table19[[#This Row],[Total Challenges]]&gt;0,Table19[[#This Row],[Total Ex-C Clubs]]&gt;0,Table19[[#This Row],[Total Intra-School Sports]]&gt;0,Table19[[#This Row],[Total Inter-School Sports]]&gt;0,Table19[[#This Row],[Community Clubs]]&gt;0),1,0)</f>
        <v>0</v>
      </c>
      <c r="Q22" s="22"/>
      <c r="R22" s="22"/>
      <c r="S22" s="22"/>
      <c r="T22" s="22"/>
      <c r="U22" s="22"/>
      <c r="V22" s="22"/>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21"/>
    </row>
    <row r="23" spans="1:218" x14ac:dyDescent="0.25">
      <c r="A23" s="22"/>
      <c r="B23" s="22"/>
      <c r="C23" s="22"/>
      <c r="D23" s="22"/>
      <c r="E23" s="22"/>
      <c r="F23" s="22"/>
      <c r="G23" s="22"/>
      <c r="H23" s="22"/>
      <c r="I23" s="22"/>
      <c r="J23" s="22"/>
      <c r="K23" s="17">
        <f>SUM(Table19[[#This Row],[Challenge 1]:[Challenge 50]])</f>
        <v>0</v>
      </c>
      <c r="L23" s="88">
        <f>SUM(Table19[[#This Row],[Club 1]:[Club 50]])</f>
        <v>0</v>
      </c>
      <c r="M23" s="88">
        <f>SUM(Table19[[#This Row],[Intra-school sports 1]:[Intra-school sports 50]])</f>
        <v>0</v>
      </c>
      <c r="N23" s="88">
        <f>SUM(Table19[[#This Row],[Inter School sports 1]:[Inter School sports 50]])</f>
        <v>0</v>
      </c>
      <c r="O23" s="17">
        <f>COUNTIF(Table19[[#This Row],[Community club (type name of club(s). All clubs will count as ''1'']],"*")</f>
        <v>0</v>
      </c>
      <c r="P23" s="17">
        <f>IF(OR(Table19[[#This Row],[Total Challenges]]&gt;0,Table19[[#This Row],[Total Ex-C Clubs]]&gt;0,Table19[[#This Row],[Total Intra-School Sports]]&gt;0,Table19[[#This Row],[Total Inter-School Sports]]&gt;0,Table19[[#This Row],[Community Clubs]]&gt;0),1,0)</f>
        <v>0</v>
      </c>
      <c r="Q23" s="22"/>
      <c r="R23" s="22"/>
      <c r="S23" s="22"/>
      <c r="T23" s="22"/>
      <c r="U23" s="22"/>
      <c r="V23" s="22"/>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21"/>
    </row>
    <row r="24" spans="1:218" x14ac:dyDescent="0.25">
      <c r="A24" s="22"/>
      <c r="B24" s="22"/>
      <c r="C24" s="22"/>
      <c r="D24" s="22"/>
      <c r="E24" s="22"/>
      <c r="F24" s="22"/>
      <c r="G24" s="22"/>
      <c r="H24" s="22"/>
      <c r="I24" s="22"/>
      <c r="J24" s="22"/>
      <c r="K24" s="17">
        <f>SUM(Table19[[#This Row],[Challenge 1]:[Challenge 50]])</f>
        <v>0</v>
      </c>
      <c r="L24" s="88">
        <f>SUM(Table19[[#This Row],[Club 1]:[Club 50]])</f>
        <v>0</v>
      </c>
      <c r="M24" s="88">
        <f>SUM(Table19[[#This Row],[Intra-school sports 1]:[Intra-school sports 50]])</f>
        <v>0</v>
      </c>
      <c r="N24" s="88">
        <f>SUM(Table19[[#This Row],[Inter School sports 1]:[Inter School sports 50]])</f>
        <v>0</v>
      </c>
      <c r="O24" s="17">
        <f>COUNTIF(Table19[[#This Row],[Community club (type name of club(s). All clubs will count as ''1'']],"*")</f>
        <v>0</v>
      </c>
      <c r="P24" s="17">
        <f>IF(OR(Table19[[#This Row],[Total Challenges]]&gt;0,Table19[[#This Row],[Total Ex-C Clubs]]&gt;0,Table19[[#This Row],[Total Intra-School Sports]]&gt;0,Table19[[#This Row],[Total Inter-School Sports]]&gt;0,Table19[[#This Row],[Community Clubs]]&gt;0),1,0)</f>
        <v>0</v>
      </c>
      <c r="Q24" s="22"/>
      <c r="R24" s="22"/>
      <c r="S24" s="22"/>
      <c r="T24" s="22"/>
      <c r="U24" s="22"/>
      <c r="V24" s="22"/>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21"/>
    </row>
    <row r="25" spans="1:218" x14ac:dyDescent="0.25">
      <c r="A25" s="22"/>
      <c r="B25" s="22"/>
      <c r="C25" s="22"/>
      <c r="D25" s="22"/>
      <c r="E25" s="22"/>
      <c r="F25" s="22"/>
      <c r="G25" s="22"/>
      <c r="H25" s="22"/>
      <c r="I25" s="22"/>
      <c r="J25" s="22"/>
      <c r="K25" s="17">
        <f>SUM(Table19[[#This Row],[Challenge 1]:[Challenge 50]])</f>
        <v>0</v>
      </c>
      <c r="L25" s="88">
        <f>SUM(Table19[[#This Row],[Club 1]:[Club 50]])</f>
        <v>0</v>
      </c>
      <c r="M25" s="88">
        <f>SUM(Table19[[#This Row],[Intra-school sports 1]:[Intra-school sports 50]])</f>
        <v>0</v>
      </c>
      <c r="N25" s="88">
        <f>SUM(Table19[[#This Row],[Inter School sports 1]:[Inter School sports 50]])</f>
        <v>0</v>
      </c>
      <c r="O25" s="17">
        <f>COUNTIF(Table19[[#This Row],[Community club (type name of club(s). All clubs will count as ''1'']],"*")</f>
        <v>0</v>
      </c>
      <c r="P25" s="17">
        <f>IF(OR(Table19[[#This Row],[Total Challenges]]&gt;0,Table19[[#This Row],[Total Ex-C Clubs]]&gt;0,Table19[[#This Row],[Total Intra-School Sports]]&gt;0,Table19[[#This Row],[Total Inter-School Sports]]&gt;0,Table19[[#This Row],[Community Clubs]]&gt;0),1,0)</f>
        <v>0</v>
      </c>
      <c r="Q25" s="22"/>
      <c r="R25" s="22"/>
      <c r="S25" s="22"/>
      <c r="T25" s="22"/>
      <c r="U25" s="22"/>
      <c r="V25" s="22"/>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21"/>
    </row>
    <row r="26" spans="1:218" x14ac:dyDescent="0.25">
      <c r="A26" s="22"/>
      <c r="B26" s="22"/>
      <c r="C26" s="22"/>
      <c r="D26" s="22"/>
      <c r="E26" s="22"/>
      <c r="F26" s="22"/>
      <c r="G26" s="22"/>
      <c r="H26" s="22"/>
      <c r="I26" s="22"/>
      <c r="J26" s="22"/>
      <c r="K26" s="17">
        <f>SUM(Table19[[#This Row],[Challenge 1]:[Challenge 50]])</f>
        <v>0</v>
      </c>
      <c r="L26" s="88">
        <f>SUM(Table19[[#This Row],[Club 1]:[Club 50]])</f>
        <v>0</v>
      </c>
      <c r="M26" s="88">
        <f>SUM(Table19[[#This Row],[Intra-school sports 1]:[Intra-school sports 50]])</f>
        <v>0</v>
      </c>
      <c r="N26" s="88">
        <f>SUM(Table19[[#This Row],[Inter School sports 1]:[Inter School sports 50]])</f>
        <v>0</v>
      </c>
      <c r="O26" s="17">
        <f>COUNTIF(Table19[[#This Row],[Community club (type name of club(s). All clubs will count as ''1'']],"*")</f>
        <v>0</v>
      </c>
      <c r="P26" s="17">
        <f>IF(OR(Table19[[#This Row],[Total Challenges]]&gt;0,Table19[[#This Row],[Total Ex-C Clubs]]&gt;0,Table19[[#This Row],[Total Intra-School Sports]]&gt;0,Table19[[#This Row],[Total Inter-School Sports]]&gt;0,Table19[[#This Row],[Community Clubs]]&gt;0),1,0)</f>
        <v>0</v>
      </c>
      <c r="Q26" s="22"/>
      <c r="R26" s="22"/>
      <c r="S26" s="22"/>
      <c r="T26" s="22"/>
      <c r="U26" s="22"/>
      <c r="V26" s="22"/>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21"/>
    </row>
    <row r="27" spans="1:218" x14ac:dyDescent="0.25">
      <c r="A27" s="22"/>
      <c r="B27" s="22"/>
      <c r="C27" s="22"/>
      <c r="D27" s="22"/>
      <c r="E27" s="22"/>
      <c r="F27" s="22"/>
      <c r="G27" s="22"/>
      <c r="H27" s="22"/>
      <c r="I27" s="22"/>
      <c r="J27" s="22"/>
      <c r="K27" s="17">
        <f>SUM(Table19[[#This Row],[Challenge 1]:[Challenge 50]])</f>
        <v>0</v>
      </c>
      <c r="L27" s="88">
        <f>SUM(Table19[[#This Row],[Club 1]:[Club 50]])</f>
        <v>0</v>
      </c>
      <c r="M27" s="88">
        <f>SUM(Table19[[#This Row],[Intra-school sports 1]:[Intra-school sports 50]])</f>
        <v>0</v>
      </c>
      <c r="N27" s="88">
        <f>SUM(Table19[[#This Row],[Inter School sports 1]:[Inter School sports 50]])</f>
        <v>0</v>
      </c>
      <c r="O27" s="17">
        <f>COUNTIF(Table19[[#This Row],[Community club (type name of club(s). All clubs will count as ''1'']],"*")</f>
        <v>0</v>
      </c>
      <c r="P27" s="17">
        <f>IF(OR(Table19[[#This Row],[Total Challenges]]&gt;0,Table19[[#This Row],[Total Ex-C Clubs]]&gt;0,Table19[[#This Row],[Total Intra-School Sports]]&gt;0,Table19[[#This Row],[Total Inter-School Sports]]&gt;0,Table19[[#This Row],[Community Clubs]]&gt;0),1,0)</f>
        <v>0</v>
      </c>
      <c r="Q27" s="22"/>
      <c r="R27" s="22"/>
      <c r="S27" s="22"/>
      <c r="T27" s="22"/>
      <c r="U27" s="22"/>
      <c r="V27" s="22"/>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21"/>
    </row>
    <row r="28" spans="1:218" x14ac:dyDescent="0.25">
      <c r="A28" s="22"/>
      <c r="B28" s="22"/>
      <c r="C28" s="22"/>
      <c r="D28" s="22"/>
      <c r="E28" s="22"/>
      <c r="F28" s="22"/>
      <c r="G28" s="22"/>
      <c r="H28" s="22"/>
      <c r="I28" s="22"/>
      <c r="J28" s="22"/>
      <c r="K28" s="17">
        <f>SUM(Table19[[#This Row],[Challenge 1]:[Challenge 50]])</f>
        <v>0</v>
      </c>
      <c r="L28" s="88">
        <f>SUM(Table19[[#This Row],[Club 1]:[Club 50]])</f>
        <v>0</v>
      </c>
      <c r="M28" s="88">
        <f>SUM(Table19[[#This Row],[Intra-school sports 1]:[Intra-school sports 50]])</f>
        <v>0</v>
      </c>
      <c r="N28" s="88">
        <f>SUM(Table19[[#This Row],[Inter School sports 1]:[Inter School sports 50]])</f>
        <v>0</v>
      </c>
      <c r="O28" s="17">
        <f>COUNTIF(Table19[[#This Row],[Community club (type name of club(s). All clubs will count as ''1'']],"*")</f>
        <v>0</v>
      </c>
      <c r="P28" s="17">
        <f>IF(OR(Table19[[#This Row],[Total Challenges]]&gt;0,Table19[[#This Row],[Total Ex-C Clubs]]&gt;0,Table19[[#This Row],[Total Intra-School Sports]]&gt;0,Table19[[#This Row],[Total Inter-School Sports]]&gt;0,Table19[[#This Row],[Community Clubs]]&gt;0),1,0)</f>
        <v>0</v>
      </c>
      <c r="Q28" s="22"/>
      <c r="R28" s="22"/>
      <c r="S28" s="22"/>
      <c r="T28" s="22"/>
      <c r="U28" s="22"/>
      <c r="V28" s="22"/>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21"/>
    </row>
    <row r="29" spans="1:218" x14ac:dyDescent="0.25">
      <c r="A29" s="22"/>
      <c r="B29" s="22"/>
      <c r="C29" s="22"/>
      <c r="D29" s="22"/>
      <c r="E29" s="22"/>
      <c r="F29" s="22"/>
      <c r="G29" s="22"/>
      <c r="H29" s="22"/>
      <c r="I29" s="22"/>
      <c r="J29" s="22"/>
      <c r="K29" s="17">
        <f>SUM(Table19[[#This Row],[Challenge 1]:[Challenge 50]])</f>
        <v>0</v>
      </c>
      <c r="L29" s="88">
        <f>SUM(Table19[[#This Row],[Club 1]:[Club 50]])</f>
        <v>0</v>
      </c>
      <c r="M29" s="88">
        <f>SUM(Table19[[#This Row],[Intra-school sports 1]:[Intra-school sports 50]])</f>
        <v>0</v>
      </c>
      <c r="N29" s="88">
        <f>SUM(Table19[[#This Row],[Inter School sports 1]:[Inter School sports 50]])</f>
        <v>0</v>
      </c>
      <c r="O29" s="17">
        <f>COUNTIF(Table19[[#This Row],[Community club (type name of club(s). All clubs will count as ''1'']],"*")</f>
        <v>0</v>
      </c>
      <c r="P29" s="17">
        <f>IF(OR(Table19[[#This Row],[Total Challenges]]&gt;0,Table19[[#This Row],[Total Ex-C Clubs]]&gt;0,Table19[[#This Row],[Total Intra-School Sports]]&gt;0,Table19[[#This Row],[Total Inter-School Sports]]&gt;0,Table19[[#This Row],[Community Clubs]]&gt;0),1,0)</f>
        <v>0</v>
      </c>
      <c r="Q29" s="22"/>
      <c r="R29" s="22"/>
      <c r="S29" s="22"/>
      <c r="T29" s="22"/>
      <c r="U29" s="22"/>
      <c r="V29" s="22"/>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21"/>
    </row>
    <row r="30" spans="1:218" x14ac:dyDescent="0.25">
      <c r="A30" s="22"/>
      <c r="B30" s="22"/>
      <c r="C30" s="22"/>
      <c r="D30" s="22"/>
      <c r="E30" s="22"/>
      <c r="F30" s="22"/>
      <c r="G30" s="22"/>
      <c r="H30" s="22"/>
      <c r="I30" s="22"/>
      <c r="J30" s="22"/>
      <c r="K30" s="17">
        <f>SUM(Table19[[#This Row],[Challenge 1]:[Challenge 50]])</f>
        <v>0</v>
      </c>
      <c r="L30" s="88">
        <f>SUM(Table19[[#This Row],[Club 1]:[Club 50]])</f>
        <v>0</v>
      </c>
      <c r="M30" s="88">
        <f>SUM(Table19[[#This Row],[Intra-school sports 1]:[Intra-school sports 50]])</f>
        <v>0</v>
      </c>
      <c r="N30" s="88">
        <f>SUM(Table19[[#This Row],[Inter School sports 1]:[Inter School sports 50]])</f>
        <v>0</v>
      </c>
      <c r="O30" s="17">
        <f>COUNTIF(Table19[[#This Row],[Community club (type name of club(s). All clubs will count as ''1'']],"*")</f>
        <v>0</v>
      </c>
      <c r="P30" s="17">
        <f>IF(OR(Table19[[#This Row],[Total Challenges]]&gt;0,Table19[[#This Row],[Total Ex-C Clubs]]&gt;0,Table19[[#This Row],[Total Intra-School Sports]]&gt;0,Table19[[#This Row],[Total Inter-School Sports]]&gt;0,Table19[[#This Row],[Community Clubs]]&gt;0),1,0)</f>
        <v>0</v>
      </c>
      <c r="Q30" s="22"/>
      <c r="R30" s="22"/>
      <c r="S30" s="22"/>
      <c r="T30" s="22"/>
      <c r="U30" s="22"/>
      <c r="V30" s="22"/>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21"/>
    </row>
    <row r="31" spans="1:218" x14ac:dyDescent="0.25">
      <c r="A31" s="22"/>
      <c r="B31" s="22"/>
      <c r="C31" s="22"/>
      <c r="D31" s="22"/>
      <c r="E31" s="22"/>
      <c r="F31" s="22"/>
      <c r="G31" s="22"/>
      <c r="H31" s="22"/>
      <c r="I31" s="22"/>
      <c r="J31" s="22"/>
      <c r="K31" s="17">
        <f>SUM(Table19[[#This Row],[Challenge 1]:[Challenge 50]])</f>
        <v>0</v>
      </c>
      <c r="L31" s="88">
        <f>SUM(Table19[[#This Row],[Club 1]:[Club 50]])</f>
        <v>0</v>
      </c>
      <c r="M31" s="88">
        <f>SUM(Table19[[#This Row],[Intra-school sports 1]:[Intra-school sports 50]])</f>
        <v>0</v>
      </c>
      <c r="N31" s="88">
        <f>SUM(Table19[[#This Row],[Inter School sports 1]:[Inter School sports 50]])</f>
        <v>0</v>
      </c>
      <c r="O31" s="17">
        <f>COUNTIF(Table19[[#This Row],[Community club (type name of club(s). All clubs will count as ''1'']],"*")</f>
        <v>0</v>
      </c>
      <c r="P31" s="17">
        <f>IF(OR(Table19[[#This Row],[Total Challenges]]&gt;0,Table19[[#This Row],[Total Ex-C Clubs]]&gt;0,Table19[[#This Row],[Total Intra-School Sports]]&gt;0,Table19[[#This Row],[Total Inter-School Sports]]&gt;0,Table19[[#This Row],[Community Clubs]]&gt;0),1,0)</f>
        <v>0</v>
      </c>
      <c r="Q31" s="22"/>
      <c r="R31" s="22"/>
      <c r="S31" s="22"/>
      <c r="T31" s="22"/>
      <c r="U31" s="22"/>
      <c r="V31" s="22"/>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21"/>
    </row>
    <row r="32" spans="1:218" x14ac:dyDescent="0.25">
      <c r="A32" s="22"/>
      <c r="B32" s="22"/>
      <c r="C32" s="22"/>
      <c r="D32" s="22"/>
      <c r="E32" s="22"/>
      <c r="F32" s="22"/>
      <c r="G32" s="22"/>
      <c r="H32" s="22"/>
      <c r="I32" s="22"/>
      <c r="J32" s="22"/>
      <c r="K32" s="17">
        <f>SUM(Table19[[#This Row],[Challenge 1]:[Challenge 50]])</f>
        <v>0</v>
      </c>
      <c r="L32" s="88">
        <f>SUM(Table19[[#This Row],[Club 1]:[Club 50]])</f>
        <v>0</v>
      </c>
      <c r="M32" s="88">
        <f>SUM(Table19[[#This Row],[Intra-school sports 1]:[Intra-school sports 50]])</f>
        <v>0</v>
      </c>
      <c r="N32" s="88">
        <f>SUM(Table19[[#This Row],[Inter School sports 1]:[Inter School sports 50]])</f>
        <v>0</v>
      </c>
      <c r="O32" s="17">
        <f>COUNTIF(Table19[[#This Row],[Community club (type name of club(s). All clubs will count as ''1'']],"*")</f>
        <v>0</v>
      </c>
      <c r="P32" s="17">
        <f>IF(OR(Table19[[#This Row],[Total Challenges]]&gt;0,Table19[[#This Row],[Total Ex-C Clubs]]&gt;0,Table19[[#This Row],[Total Intra-School Sports]]&gt;0,Table19[[#This Row],[Total Inter-School Sports]]&gt;0,Table19[[#This Row],[Community Clubs]]&gt;0),1,0)</f>
        <v>0</v>
      </c>
      <c r="Q32" s="22"/>
      <c r="R32" s="22"/>
      <c r="S32" s="22"/>
      <c r="T32" s="22"/>
      <c r="U32" s="22"/>
      <c r="V32" s="22"/>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21"/>
    </row>
    <row r="33" spans="1:218" x14ac:dyDescent="0.25">
      <c r="A33" s="22"/>
      <c r="B33" s="22"/>
      <c r="C33" s="22"/>
      <c r="D33" s="22"/>
      <c r="E33" s="22"/>
      <c r="F33" s="22"/>
      <c r="G33" s="22"/>
      <c r="H33" s="22"/>
      <c r="I33" s="22"/>
      <c r="J33" s="22"/>
      <c r="K33" s="17">
        <f>SUM(Table19[[#This Row],[Challenge 1]:[Challenge 50]])</f>
        <v>0</v>
      </c>
      <c r="L33" s="88">
        <f>SUM(Table19[[#This Row],[Club 1]:[Club 50]])</f>
        <v>0</v>
      </c>
      <c r="M33" s="88">
        <f>SUM(Table19[[#This Row],[Intra-school sports 1]:[Intra-school sports 50]])</f>
        <v>0</v>
      </c>
      <c r="N33" s="88">
        <f>SUM(Table19[[#This Row],[Inter School sports 1]:[Inter School sports 50]])</f>
        <v>0</v>
      </c>
      <c r="O33" s="17">
        <f>COUNTIF(Table19[[#This Row],[Community club (type name of club(s). All clubs will count as ''1'']],"*")</f>
        <v>0</v>
      </c>
      <c r="P33" s="17">
        <f>IF(OR(Table19[[#This Row],[Total Challenges]]&gt;0,Table19[[#This Row],[Total Ex-C Clubs]]&gt;0,Table19[[#This Row],[Total Intra-School Sports]]&gt;0,Table19[[#This Row],[Total Inter-School Sports]]&gt;0,Table19[[#This Row],[Community Clubs]]&gt;0),1,0)</f>
        <v>0</v>
      </c>
      <c r="Q33" s="22"/>
      <c r="R33" s="22"/>
      <c r="S33" s="22"/>
      <c r="T33" s="22"/>
      <c r="U33" s="22"/>
      <c r="V33" s="22"/>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21"/>
    </row>
    <row r="34" spans="1:218" x14ac:dyDescent="0.25">
      <c r="A34" s="22"/>
      <c r="B34" s="22"/>
      <c r="C34" s="22"/>
      <c r="D34" s="22"/>
      <c r="E34" s="22"/>
      <c r="F34" s="22"/>
      <c r="G34" s="22"/>
      <c r="H34" s="22"/>
      <c r="I34" s="22"/>
      <c r="J34" s="22"/>
      <c r="K34" s="17">
        <f>SUM(Table19[[#This Row],[Challenge 1]:[Challenge 50]])</f>
        <v>0</v>
      </c>
      <c r="L34" s="88">
        <f>SUM(Table19[[#This Row],[Club 1]:[Club 50]])</f>
        <v>0</v>
      </c>
      <c r="M34" s="88">
        <f>SUM(Table19[[#This Row],[Intra-school sports 1]:[Intra-school sports 50]])</f>
        <v>0</v>
      </c>
      <c r="N34" s="88">
        <f>SUM(Table19[[#This Row],[Inter School sports 1]:[Inter School sports 50]])</f>
        <v>0</v>
      </c>
      <c r="O34" s="17">
        <f>COUNTIF(Table19[[#This Row],[Community club (type name of club(s). All clubs will count as ''1'']],"*")</f>
        <v>0</v>
      </c>
      <c r="P34" s="17">
        <f>IF(OR(Table19[[#This Row],[Total Challenges]]&gt;0,Table19[[#This Row],[Total Ex-C Clubs]]&gt;0,Table19[[#This Row],[Total Intra-School Sports]]&gt;0,Table19[[#This Row],[Total Inter-School Sports]]&gt;0,Table19[[#This Row],[Community Clubs]]&gt;0),1,0)</f>
        <v>0</v>
      </c>
      <c r="Q34" s="22"/>
      <c r="R34" s="22"/>
      <c r="S34" s="22"/>
      <c r="T34" s="22"/>
      <c r="U34" s="22"/>
      <c r="V34" s="22"/>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21"/>
    </row>
    <row r="35" spans="1:218" x14ac:dyDescent="0.25">
      <c r="A35" s="22"/>
      <c r="B35" s="22"/>
      <c r="C35" s="22"/>
      <c r="D35" s="22"/>
      <c r="E35" s="22"/>
      <c r="F35" s="22"/>
      <c r="G35" s="22"/>
      <c r="H35" s="22"/>
      <c r="I35" s="22"/>
      <c r="J35" s="22"/>
      <c r="K35" s="17">
        <f>SUM(Table19[[#This Row],[Challenge 1]:[Challenge 50]])</f>
        <v>0</v>
      </c>
      <c r="L35" s="88">
        <f>SUM(Table19[[#This Row],[Club 1]:[Club 50]])</f>
        <v>0</v>
      </c>
      <c r="M35" s="88">
        <f>SUM(Table19[[#This Row],[Intra-school sports 1]:[Intra-school sports 50]])</f>
        <v>0</v>
      </c>
      <c r="N35" s="88">
        <f>SUM(Table19[[#This Row],[Inter School sports 1]:[Inter School sports 50]])</f>
        <v>0</v>
      </c>
      <c r="O35" s="17">
        <f>COUNTIF(Table19[[#This Row],[Community club (type name of club(s). All clubs will count as ''1'']],"*")</f>
        <v>0</v>
      </c>
      <c r="P35" s="17">
        <f>IF(OR(Table19[[#This Row],[Total Challenges]]&gt;0,Table19[[#This Row],[Total Ex-C Clubs]]&gt;0,Table19[[#This Row],[Total Intra-School Sports]]&gt;0,Table19[[#This Row],[Total Inter-School Sports]]&gt;0,Table19[[#This Row],[Community Clubs]]&gt;0),1,0)</f>
        <v>0</v>
      </c>
      <c r="Q35" s="22"/>
      <c r="R35" s="22"/>
      <c r="S35" s="22"/>
      <c r="T35" s="22"/>
      <c r="U35" s="22"/>
      <c r="V35" s="22"/>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21"/>
    </row>
    <row r="36" spans="1:218" x14ac:dyDescent="0.25">
      <c r="A36" s="22"/>
      <c r="B36" s="22"/>
      <c r="C36" s="22"/>
      <c r="D36" s="22"/>
      <c r="E36" s="22"/>
      <c r="F36" s="22"/>
      <c r="G36" s="22"/>
      <c r="H36" s="22"/>
      <c r="I36" s="22"/>
      <c r="J36" s="22"/>
      <c r="K36" s="17">
        <f>SUM(Table19[[#This Row],[Challenge 1]:[Challenge 50]])</f>
        <v>0</v>
      </c>
      <c r="L36" s="88">
        <f>SUM(Table19[[#This Row],[Club 1]:[Club 50]])</f>
        <v>0</v>
      </c>
      <c r="M36" s="88">
        <f>SUM(Table19[[#This Row],[Intra-school sports 1]:[Intra-school sports 50]])</f>
        <v>0</v>
      </c>
      <c r="N36" s="88">
        <f>SUM(Table19[[#This Row],[Inter School sports 1]:[Inter School sports 50]])</f>
        <v>0</v>
      </c>
      <c r="O36" s="17">
        <f>COUNTIF(Table19[[#This Row],[Community club (type name of club(s). All clubs will count as ''1'']],"*")</f>
        <v>0</v>
      </c>
      <c r="P36" s="17">
        <f>IF(OR(Table19[[#This Row],[Total Challenges]]&gt;0,Table19[[#This Row],[Total Ex-C Clubs]]&gt;0,Table19[[#This Row],[Total Intra-School Sports]]&gt;0,Table19[[#This Row],[Total Inter-School Sports]]&gt;0,Table19[[#This Row],[Community Clubs]]&gt;0),1,0)</f>
        <v>0</v>
      </c>
      <c r="Q36" s="22"/>
      <c r="R36" s="22"/>
      <c r="S36" s="22"/>
      <c r="T36" s="22"/>
      <c r="U36" s="22"/>
      <c r="V36" s="22"/>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21"/>
    </row>
    <row r="37" spans="1:218" x14ac:dyDescent="0.25">
      <c r="A37" s="22"/>
      <c r="B37" s="22"/>
      <c r="C37" s="22"/>
      <c r="D37" s="22"/>
      <c r="E37" s="22"/>
      <c r="F37" s="22"/>
      <c r="G37" s="22"/>
      <c r="H37" s="22"/>
      <c r="I37" s="22"/>
      <c r="J37" s="22"/>
      <c r="K37" s="17">
        <f>SUM(Table19[[#This Row],[Challenge 1]:[Challenge 50]])</f>
        <v>0</v>
      </c>
      <c r="L37" s="88">
        <f>SUM(Table19[[#This Row],[Club 1]:[Club 50]])</f>
        <v>0</v>
      </c>
      <c r="M37" s="88">
        <f>SUM(Table19[[#This Row],[Intra-school sports 1]:[Intra-school sports 50]])</f>
        <v>0</v>
      </c>
      <c r="N37" s="88">
        <f>SUM(Table19[[#This Row],[Inter School sports 1]:[Inter School sports 50]])</f>
        <v>0</v>
      </c>
      <c r="O37" s="17">
        <f>COUNTIF(Table19[[#This Row],[Community club (type name of club(s). All clubs will count as ''1'']],"*")</f>
        <v>0</v>
      </c>
      <c r="P37" s="17">
        <f>IF(OR(Table19[[#This Row],[Total Challenges]]&gt;0,Table19[[#This Row],[Total Ex-C Clubs]]&gt;0,Table19[[#This Row],[Total Intra-School Sports]]&gt;0,Table19[[#This Row],[Total Inter-School Sports]]&gt;0,Table19[[#This Row],[Community Clubs]]&gt;0),1,0)</f>
        <v>0</v>
      </c>
      <c r="Q37" s="22"/>
      <c r="R37" s="22"/>
      <c r="S37" s="22"/>
      <c r="T37" s="22"/>
      <c r="U37" s="22"/>
      <c r="V37" s="22"/>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21"/>
    </row>
    <row r="38" spans="1:218" x14ac:dyDescent="0.25">
      <c r="A38" s="22"/>
      <c r="B38" s="22"/>
      <c r="C38" s="22"/>
      <c r="D38" s="22"/>
      <c r="E38" s="22"/>
      <c r="F38" s="22"/>
      <c r="G38" s="22"/>
      <c r="H38" s="22"/>
      <c r="I38" s="22"/>
      <c r="J38" s="22"/>
      <c r="K38" s="17">
        <f>SUM(Table19[[#This Row],[Challenge 1]:[Challenge 50]])</f>
        <v>0</v>
      </c>
      <c r="L38" s="88">
        <f>SUM(Table19[[#This Row],[Club 1]:[Club 50]])</f>
        <v>0</v>
      </c>
      <c r="M38" s="88">
        <f>SUM(Table19[[#This Row],[Intra-school sports 1]:[Intra-school sports 50]])</f>
        <v>0</v>
      </c>
      <c r="N38" s="88">
        <f>SUM(Table19[[#This Row],[Inter School sports 1]:[Inter School sports 50]])</f>
        <v>0</v>
      </c>
      <c r="O38" s="17">
        <f>COUNTIF(Table19[[#This Row],[Community club (type name of club(s). All clubs will count as ''1'']],"*")</f>
        <v>0</v>
      </c>
      <c r="P38" s="17">
        <f>IF(OR(Table19[[#This Row],[Total Challenges]]&gt;0,Table19[[#This Row],[Total Ex-C Clubs]]&gt;0,Table19[[#This Row],[Total Intra-School Sports]]&gt;0,Table19[[#This Row],[Total Inter-School Sports]]&gt;0,Table19[[#This Row],[Community Clubs]]&gt;0),1,0)</f>
        <v>0</v>
      </c>
      <c r="Q38" s="22"/>
      <c r="R38" s="22"/>
      <c r="S38" s="22"/>
      <c r="T38" s="22"/>
      <c r="U38" s="22"/>
      <c r="V38" s="22"/>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21"/>
    </row>
    <row r="39" spans="1:218" x14ac:dyDescent="0.25">
      <c r="A39" s="22"/>
      <c r="B39" s="22"/>
      <c r="C39" s="22"/>
      <c r="D39" s="22"/>
      <c r="E39" s="22"/>
      <c r="F39" s="22"/>
      <c r="G39" s="22"/>
      <c r="H39" s="22"/>
      <c r="I39" s="22"/>
      <c r="J39" s="22"/>
      <c r="K39" s="17">
        <f>SUM(Table19[[#This Row],[Challenge 1]:[Challenge 50]])</f>
        <v>0</v>
      </c>
      <c r="L39" s="88">
        <f>SUM(Table19[[#This Row],[Club 1]:[Club 50]])</f>
        <v>0</v>
      </c>
      <c r="M39" s="88">
        <f>SUM(Table19[[#This Row],[Intra-school sports 1]:[Intra-school sports 50]])</f>
        <v>0</v>
      </c>
      <c r="N39" s="88">
        <f>SUM(Table19[[#This Row],[Inter School sports 1]:[Inter School sports 50]])</f>
        <v>0</v>
      </c>
      <c r="O39" s="17">
        <f>COUNTIF(Table19[[#This Row],[Community club (type name of club(s). All clubs will count as ''1'']],"*")</f>
        <v>0</v>
      </c>
      <c r="P39" s="17">
        <f>IF(OR(Table19[[#This Row],[Total Challenges]]&gt;0,Table19[[#This Row],[Total Ex-C Clubs]]&gt;0,Table19[[#This Row],[Total Intra-School Sports]]&gt;0,Table19[[#This Row],[Total Inter-School Sports]]&gt;0,Table19[[#This Row],[Community Clubs]]&gt;0),1,0)</f>
        <v>0</v>
      </c>
      <c r="Q39" s="22"/>
      <c r="R39" s="22"/>
      <c r="S39" s="22"/>
      <c r="T39" s="22"/>
      <c r="U39" s="22"/>
      <c r="V39" s="22"/>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21"/>
    </row>
    <row r="40" spans="1:218" x14ac:dyDescent="0.25">
      <c r="A40" s="22"/>
      <c r="B40" s="22"/>
      <c r="C40" s="22"/>
      <c r="D40" s="22"/>
      <c r="E40" s="22"/>
      <c r="F40" s="22"/>
      <c r="G40" s="22"/>
      <c r="H40" s="22"/>
      <c r="I40" s="22"/>
      <c r="J40" s="22"/>
      <c r="K40" s="17">
        <f>SUM(Table19[[#This Row],[Challenge 1]:[Challenge 50]])</f>
        <v>0</v>
      </c>
      <c r="L40" s="88">
        <f>SUM(Table19[[#This Row],[Club 1]:[Club 50]])</f>
        <v>0</v>
      </c>
      <c r="M40" s="88">
        <f>SUM(Table19[[#This Row],[Intra-school sports 1]:[Intra-school sports 50]])</f>
        <v>0</v>
      </c>
      <c r="N40" s="88">
        <f>SUM(Table19[[#This Row],[Inter School sports 1]:[Inter School sports 50]])</f>
        <v>0</v>
      </c>
      <c r="O40" s="17">
        <f>COUNTIF(Table19[[#This Row],[Community club (type name of club(s). All clubs will count as ''1'']],"*")</f>
        <v>0</v>
      </c>
      <c r="P40" s="17">
        <f>IF(OR(Table19[[#This Row],[Total Challenges]]&gt;0,Table19[[#This Row],[Total Ex-C Clubs]]&gt;0,Table19[[#This Row],[Total Intra-School Sports]]&gt;0,Table19[[#This Row],[Total Inter-School Sports]]&gt;0,Table19[[#This Row],[Community Clubs]]&gt;0),1,0)</f>
        <v>0</v>
      </c>
      <c r="Q40" s="22"/>
      <c r="R40" s="22"/>
      <c r="S40" s="22"/>
      <c r="T40" s="22"/>
      <c r="U40" s="22"/>
      <c r="V40" s="22"/>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21"/>
    </row>
    <row r="41" spans="1:218" x14ac:dyDescent="0.25">
      <c r="A41" s="22"/>
      <c r="B41" s="22"/>
      <c r="C41" s="22"/>
      <c r="D41" s="22"/>
      <c r="E41" s="22"/>
      <c r="F41" s="22"/>
      <c r="G41" s="22"/>
      <c r="H41" s="22"/>
      <c r="I41" s="22"/>
      <c r="J41" s="22"/>
      <c r="K41" s="17">
        <f>SUM(Table19[[#This Row],[Challenge 1]:[Challenge 50]])</f>
        <v>0</v>
      </c>
      <c r="L41" s="88">
        <f>SUM(Table19[[#This Row],[Club 1]:[Club 50]])</f>
        <v>0</v>
      </c>
      <c r="M41" s="88">
        <f>SUM(Table19[[#This Row],[Intra-school sports 1]:[Intra-school sports 50]])</f>
        <v>0</v>
      </c>
      <c r="N41" s="88">
        <f>SUM(Table19[[#This Row],[Inter School sports 1]:[Inter School sports 50]])</f>
        <v>0</v>
      </c>
      <c r="O41" s="17">
        <f>COUNTIF(Table19[[#This Row],[Community club (type name of club(s). All clubs will count as ''1'']],"*")</f>
        <v>0</v>
      </c>
      <c r="P41" s="17">
        <f>IF(OR(Table19[[#This Row],[Total Challenges]]&gt;0,Table19[[#This Row],[Total Ex-C Clubs]]&gt;0,Table19[[#This Row],[Total Intra-School Sports]]&gt;0,Table19[[#This Row],[Total Inter-School Sports]]&gt;0,Table19[[#This Row],[Community Clubs]]&gt;0),1,0)</f>
        <v>0</v>
      </c>
      <c r="Q41" s="22"/>
      <c r="R41" s="22"/>
      <c r="S41" s="22"/>
      <c r="T41" s="22"/>
      <c r="U41" s="22"/>
      <c r="V41" s="22"/>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21"/>
    </row>
    <row r="42" spans="1:218" x14ac:dyDescent="0.25">
      <c r="A42" s="22"/>
      <c r="B42" s="22"/>
      <c r="C42" s="22"/>
      <c r="D42" s="22"/>
      <c r="E42" s="22"/>
      <c r="F42" s="22"/>
      <c r="G42" s="22"/>
      <c r="H42" s="22"/>
      <c r="I42" s="22"/>
      <c r="J42" s="22"/>
      <c r="K42" s="17">
        <f>SUM(Table19[[#This Row],[Challenge 1]:[Challenge 50]])</f>
        <v>0</v>
      </c>
      <c r="L42" s="88">
        <f>SUM(Table19[[#This Row],[Club 1]:[Club 50]])</f>
        <v>0</v>
      </c>
      <c r="M42" s="88">
        <f>SUM(Table19[[#This Row],[Intra-school sports 1]:[Intra-school sports 50]])</f>
        <v>0</v>
      </c>
      <c r="N42" s="88">
        <f>SUM(Table19[[#This Row],[Inter School sports 1]:[Inter School sports 50]])</f>
        <v>0</v>
      </c>
      <c r="O42" s="17">
        <f>COUNTIF(Table19[[#This Row],[Community club (type name of club(s). All clubs will count as ''1'']],"*")</f>
        <v>0</v>
      </c>
      <c r="P42" s="17">
        <f>IF(OR(Table19[[#This Row],[Total Challenges]]&gt;0,Table19[[#This Row],[Total Ex-C Clubs]]&gt;0,Table19[[#This Row],[Total Intra-School Sports]]&gt;0,Table19[[#This Row],[Total Inter-School Sports]]&gt;0,Table19[[#This Row],[Community Clubs]]&gt;0),1,0)</f>
        <v>0</v>
      </c>
      <c r="Q42" s="22"/>
      <c r="R42" s="22"/>
      <c r="S42" s="22"/>
      <c r="T42" s="22"/>
      <c r="U42" s="22"/>
      <c r="V42" s="22"/>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21"/>
    </row>
    <row r="43" spans="1:218" x14ac:dyDescent="0.25">
      <c r="A43" s="22"/>
      <c r="B43" s="22"/>
      <c r="C43" s="22"/>
      <c r="D43" s="22"/>
      <c r="E43" s="22"/>
      <c r="F43" s="22"/>
      <c r="G43" s="22"/>
      <c r="H43" s="22"/>
      <c r="I43" s="22"/>
      <c r="J43" s="22"/>
      <c r="K43" s="17">
        <f>SUM(Table19[[#This Row],[Challenge 1]:[Challenge 50]])</f>
        <v>0</v>
      </c>
      <c r="L43" s="88">
        <f>SUM(Table19[[#This Row],[Club 1]:[Club 50]])</f>
        <v>0</v>
      </c>
      <c r="M43" s="88">
        <f>SUM(Table19[[#This Row],[Intra-school sports 1]:[Intra-school sports 50]])</f>
        <v>0</v>
      </c>
      <c r="N43" s="88">
        <f>SUM(Table19[[#This Row],[Inter School sports 1]:[Inter School sports 50]])</f>
        <v>0</v>
      </c>
      <c r="O43" s="17">
        <f>COUNTIF(Table19[[#This Row],[Community club (type name of club(s). All clubs will count as ''1'']],"*")</f>
        <v>0</v>
      </c>
      <c r="P43" s="17">
        <f>IF(OR(Table19[[#This Row],[Total Challenges]]&gt;0,Table19[[#This Row],[Total Ex-C Clubs]]&gt;0,Table19[[#This Row],[Total Intra-School Sports]]&gt;0,Table19[[#This Row],[Total Inter-School Sports]]&gt;0,Table19[[#This Row],[Community Clubs]]&gt;0),1,0)</f>
        <v>0</v>
      </c>
      <c r="Q43" s="22"/>
      <c r="R43" s="22"/>
      <c r="S43" s="22"/>
      <c r="T43" s="22"/>
      <c r="U43" s="22"/>
      <c r="V43" s="22"/>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21"/>
    </row>
    <row r="44" spans="1:218" x14ac:dyDescent="0.25">
      <c r="A44" s="22"/>
      <c r="B44" s="22"/>
      <c r="C44" s="22"/>
      <c r="D44" s="22"/>
      <c r="E44" s="22"/>
      <c r="F44" s="22"/>
      <c r="G44" s="22"/>
      <c r="H44" s="22"/>
      <c r="I44" s="22"/>
      <c r="J44" s="22"/>
      <c r="K44" s="17">
        <f>SUM(Table19[[#This Row],[Challenge 1]:[Challenge 50]])</f>
        <v>0</v>
      </c>
      <c r="L44" s="88">
        <f>SUM(Table19[[#This Row],[Club 1]:[Club 50]])</f>
        <v>0</v>
      </c>
      <c r="M44" s="88">
        <f>SUM(Table19[[#This Row],[Intra-school sports 1]:[Intra-school sports 50]])</f>
        <v>0</v>
      </c>
      <c r="N44" s="88">
        <f>SUM(Table19[[#This Row],[Inter School sports 1]:[Inter School sports 50]])</f>
        <v>0</v>
      </c>
      <c r="O44" s="17">
        <f>COUNTIF(Table19[[#This Row],[Community club (type name of club(s). All clubs will count as ''1'']],"*")</f>
        <v>0</v>
      </c>
      <c r="P44" s="17">
        <f>IF(OR(Table19[[#This Row],[Total Challenges]]&gt;0,Table19[[#This Row],[Total Ex-C Clubs]]&gt;0,Table19[[#This Row],[Total Intra-School Sports]]&gt;0,Table19[[#This Row],[Total Inter-School Sports]]&gt;0,Table19[[#This Row],[Community Clubs]]&gt;0),1,0)</f>
        <v>0</v>
      </c>
      <c r="Q44" s="22"/>
      <c r="R44" s="22"/>
      <c r="S44" s="22"/>
      <c r="T44" s="22"/>
      <c r="U44" s="22"/>
      <c r="V44" s="22"/>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21"/>
    </row>
    <row r="45" spans="1:218" x14ac:dyDescent="0.25">
      <c r="A45" s="22"/>
      <c r="B45" s="22"/>
      <c r="C45" s="22"/>
      <c r="D45" s="22"/>
      <c r="E45" s="22"/>
      <c r="F45" s="22"/>
      <c r="G45" s="22"/>
      <c r="H45" s="22"/>
      <c r="I45" s="22"/>
      <c r="J45" s="22"/>
      <c r="K45" s="17">
        <f>SUM(Table19[[#This Row],[Challenge 1]:[Challenge 50]])</f>
        <v>0</v>
      </c>
      <c r="L45" s="88">
        <f>SUM(Table19[[#This Row],[Club 1]:[Club 50]])</f>
        <v>0</v>
      </c>
      <c r="M45" s="88">
        <f>SUM(Table19[[#This Row],[Intra-school sports 1]:[Intra-school sports 50]])</f>
        <v>0</v>
      </c>
      <c r="N45" s="88">
        <f>SUM(Table19[[#This Row],[Inter School sports 1]:[Inter School sports 50]])</f>
        <v>0</v>
      </c>
      <c r="O45" s="17">
        <f>COUNTIF(Table19[[#This Row],[Community club (type name of club(s). All clubs will count as ''1'']],"*")</f>
        <v>0</v>
      </c>
      <c r="P45" s="17">
        <f>IF(OR(Table19[[#This Row],[Total Challenges]]&gt;0,Table19[[#This Row],[Total Ex-C Clubs]]&gt;0,Table19[[#This Row],[Total Intra-School Sports]]&gt;0,Table19[[#This Row],[Total Inter-School Sports]]&gt;0,Table19[[#This Row],[Community Clubs]]&gt;0),1,0)</f>
        <v>0</v>
      </c>
      <c r="Q45" s="22"/>
      <c r="R45" s="22"/>
      <c r="S45" s="22"/>
      <c r="T45" s="22"/>
      <c r="U45" s="22"/>
      <c r="V45" s="22"/>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21"/>
    </row>
    <row r="46" spans="1:218" x14ac:dyDescent="0.25">
      <c r="A46" s="22"/>
      <c r="B46" s="22"/>
      <c r="C46" s="22"/>
      <c r="D46" s="22"/>
      <c r="E46" s="22"/>
      <c r="F46" s="22"/>
      <c r="G46" s="22"/>
      <c r="H46" s="22"/>
      <c r="I46" s="22"/>
      <c r="J46" s="22"/>
      <c r="K46" s="17">
        <f>SUM(Table19[[#This Row],[Challenge 1]:[Challenge 50]])</f>
        <v>0</v>
      </c>
      <c r="L46" s="88">
        <f>SUM(Table19[[#This Row],[Club 1]:[Club 50]])</f>
        <v>0</v>
      </c>
      <c r="M46" s="88">
        <f>SUM(Table19[[#This Row],[Intra-school sports 1]:[Intra-school sports 50]])</f>
        <v>0</v>
      </c>
      <c r="N46" s="88">
        <f>SUM(Table19[[#This Row],[Inter School sports 1]:[Inter School sports 50]])</f>
        <v>0</v>
      </c>
      <c r="O46" s="17">
        <f>COUNTIF(Table19[[#This Row],[Community club (type name of club(s). All clubs will count as ''1'']],"*")</f>
        <v>0</v>
      </c>
      <c r="P46" s="17">
        <f>IF(OR(Table19[[#This Row],[Total Challenges]]&gt;0,Table19[[#This Row],[Total Ex-C Clubs]]&gt;0,Table19[[#This Row],[Total Intra-School Sports]]&gt;0,Table19[[#This Row],[Total Inter-School Sports]]&gt;0,Table19[[#This Row],[Community Clubs]]&gt;0),1,0)</f>
        <v>0</v>
      </c>
      <c r="Q46" s="22"/>
      <c r="R46" s="22"/>
      <c r="S46" s="22"/>
      <c r="T46" s="22"/>
      <c r="U46" s="22"/>
      <c r="V46" s="22"/>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21"/>
    </row>
    <row r="47" spans="1:218" x14ac:dyDescent="0.25">
      <c r="A47" s="22"/>
      <c r="B47" s="22"/>
      <c r="C47" s="22"/>
      <c r="D47" s="22"/>
      <c r="E47" s="22"/>
      <c r="F47" s="22"/>
      <c r="G47" s="22"/>
      <c r="H47" s="22"/>
      <c r="I47" s="22"/>
      <c r="J47" s="22"/>
      <c r="K47" s="17">
        <f>SUM(Table19[[#This Row],[Challenge 1]:[Challenge 50]])</f>
        <v>0</v>
      </c>
      <c r="L47" s="88">
        <f>SUM(Table19[[#This Row],[Club 1]:[Club 50]])</f>
        <v>0</v>
      </c>
      <c r="M47" s="88">
        <f>SUM(Table19[[#This Row],[Intra-school sports 1]:[Intra-school sports 50]])</f>
        <v>0</v>
      </c>
      <c r="N47" s="88">
        <f>SUM(Table19[[#This Row],[Inter School sports 1]:[Inter School sports 50]])</f>
        <v>0</v>
      </c>
      <c r="O47" s="17">
        <f>COUNTIF(Table19[[#This Row],[Community club (type name of club(s). All clubs will count as ''1'']],"*")</f>
        <v>0</v>
      </c>
      <c r="P47" s="17">
        <f>IF(OR(Table19[[#This Row],[Total Challenges]]&gt;0,Table19[[#This Row],[Total Ex-C Clubs]]&gt;0,Table19[[#This Row],[Total Intra-School Sports]]&gt;0,Table19[[#This Row],[Total Inter-School Sports]]&gt;0,Table19[[#This Row],[Community Clubs]]&gt;0),1,0)</f>
        <v>0</v>
      </c>
      <c r="Q47" s="22"/>
      <c r="R47" s="22"/>
      <c r="S47" s="22"/>
      <c r="T47" s="22"/>
      <c r="U47" s="22"/>
      <c r="V47" s="22"/>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21"/>
    </row>
    <row r="48" spans="1:218" x14ac:dyDescent="0.25">
      <c r="A48" s="22"/>
      <c r="B48" s="22"/>
      <c r="C48" s="22"/>
      <c r="D48" s="22"/>
      <c r="E48" s="22"/>
      <c r="F48" s="22"/>
      <c r="G48" s="22"/>
      <c r="H48" s="22"/>
      <c r="I48" s="22"/>
      <c r="J48" s="22"/>
      <c r="K48" s="17">
        <f>SUM(Table19[[#This Row],[Challenge 1]:[Challenge 50]])</f>
        <v>0</v>
      </c>
      <c r="L48" s="88">
        <f>SUM(Table19[[#This Row],[Club 1]:[Club 50]])</f>
        <v>0</v>
      </c>
      <c r="M48" s="88">
        <f>SUM(Table19[[#This Row],[Intra-school sports 1]:[Intra-school sports 50]])</f>
        <v>0</v>
      </c>
      <c r="N48" s="88">
        <f>SUM(Table19[[#This Row],[Inter School sports 1]:[Inter School sports 50]])</f>
        <v>0</v>
      </c>
      <c r="O48" s="17">
        <f>COUNTIF(Table19[[#This Row],[Community club (type name of club(s). All clubs will count as ''1'']],"*")</f>
        <v>0</v>
      </c>
      <c r="P48" s="17">
        <f>IF(OR(Table19[[#This Row],[Total Challenges]]&gt;0,Table19[[#This Row],[Total Ex-C Clubs]]&gt;0,Table19[[#This Row],[Total Intra-School Sports]]&gt;0,Table19[[#This Row],[Total Inter-School Sports]]&gt;0,Table19[[#This Row],[Community Clubs]]&gt;0),1,0)</f>
        <v>0</v>
      </c>
      <c r="Q48" s="22"/>
      <c r="R48" s="22"/>
      <c r="S48" s="22"/>
      <c r="T48" s="22"/>
      <c r="U48" s="22"/>
      <c r="V48" s="22"/>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21"/>
    </row>
    <row r="49" spans="1:218" x14ac:dyDescent="0.25">
      <c r="A49" s="22"/>
      <c r="B49" s="22"/>
      <c r="C49" s="22"/>
      <c r="D49" s="22"/>
      <c r="E49" s="22"/>
      <c r="F49" s="22"/>
      <c r="G49" s="22"/>
      <c r="H49" s="22"/>
      <c r="I49" s="22"/>
      <c r="J49" s="22"/>
      <c r="K49" s="17">
        <f>SUM(Table19[[#This Row],[Challenge 1]:[Challenge 50]])</f>
        <v>0</v>
      </c>
      <c r="L49" s="88">
        <f>SUM(Table19[[#This Row],[Club 1]:[Club 50]])</f>
        <v>0</v>
      </c>
      <c r="M49" s="88">
        <f>SUM(Table19[[#This Row],[Intra-school sports 1]:[Intra-school sports 50]])</f>
        <v>0</v>
      </c>
      <c r="N49" s="88">
        <f>SUM(Table19[[#This Row],[Inter School sports 1]:[Inter School sports 50]])</f>
        <v>0</v>
      </c>
      <c r="O49" s="17">
        <f>COUNTIF(Table19[[#This Row],[Community club (type name of club(s). All clubs will count as ''1'']],"*")</f>
        <v>0</v>
      </c>
      <c r="P49" s="17">
        <f>IF(OR(Table19[[#This Row],[Total Challenges]]&gt;0,Table19[[#This Row],[Total Ex-C Clubs]]&gt;0,Table19[[#This Row],[Total Intra-School Sports]]&gt;0,Table19[[#This Row],[Total Inter-School Sports]]&gt;0,Table19[[#This Row],[Community Clubs]]&gt;0),1,0)</f>
        <v>0</v>
      </c>
      <c r="Q49" s="22"/>
      <c r="R49" s="22"/>
      <c r="S49" s="22"/>
      <c r="T49" s="22"/>
      <c r="U49" s="22"/>
      <c r="V49" s="22"/>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21"/>
    </row>
    <row r="50" spans="1:218" x14ac:dyDescent="0.25">
      <c r="A50" s="22"/>
      <c r="B50" s="22"/>
      <c r="C50" s="22"/>
      <c r="D50" s="22"/>
      <c r="E50" s="22"/>
      <c r="F50" s="22"/>
      <c r="G50" s="22"/>
      <c r="H50" s="22"/>
      <c r="I50" s="22"/>
      <c r="J50" s="22"/>
      <c r="K50" s="17">
        <f>SUM(Table19[[#This Row],[Challenge 1]:[Challenge 50]])</f>
        <v>0</v>
      </c>
      <c r="L50" s="88">
        <f>SUM(Table19[[#This Row],[Club 1]:[Club 50]])</f>
        <v>0</v>
      </c>
      <c r="M50" s="88">
        <f>SUM(Table19[[#This Row],[Intra-school sports 1]:[Intra-school sports 50]])</f>
        <v>0</v>
      </c>
      <c r="N50" s="88">
        <f>SUM(Table19[[#This Row],[Inter School sports 1]:[Inter School sports 50]])</f>
        <v>0</v>
      </c>
      <c r="O50" s="17">
        <f>COUNTIF(Table19[[#This Row],[Community club (type name of club(s). All clubs will count as ''1'']],"*")</f>
        <v>0</v>
      </c>
      <c r="P50" s="17">
        <f>IF(OR(Table19[[#This Row],[Total Challenges]]&gt;0,Table19[[#This Row],[Total Ex-C Clubs]]&gt;0,Table19[[#This Row],[Total Intra-School Sports]]&gt;0,Table19[[#This Row],[Total Inter-School Sports]]&gt;0,Table19[[#This Row],[Community Clubs]]&gt;0),1,0)</f>
        <v>0</v>
      </c>
      <c r="Q50" s="22"/>
      <c r="R50" s="22"/>
      <c r="S50" s="22"/>
      <c r="T50" s="22"/>
      <c r="U50" s="22"/>
      <c r="V50" s="22"/>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21"/>
    </row>
    <row r="51" spans="1:218" x14ac:dyDescent="0.25">
      <c r="A51" s="22"/>
      <c r="B51" s="22"/>
      <c r="C51" s="22"/>
      <c r="D51" s="22"/>
      <c r="E51" s="22"/>
      <c r="F51" s="22"/>
      <c r="G51" s="22"/>
      <c r="H51" s="22"/>
      <c r="I51" s="22"/>
      <c r="J51" s="22"/>
      <c r="K51" s="17">
        <f>SUM(Table19[[#This Row],[Challenge 1]:[Challenge 50]])</f>
        <v>0</v>
      </c>
      <c r="L51" s="88">
        <f>SUM(Table19[[#This Row],[Club 1]:[Club 50]])</f>
        <v>0</v>
      </c>
      <c r="M51" s="88">
        <f>SUM(Table19[[#This Row],[Intra-school sports 1]:[Intra-school sports 50]])</f>
        <v>0</v>
      </c>
      <c r="N51" s="88">
        <f>SUM(Table19[[#This Row],[Inter School sports 1]:[Inter School sports 50]])</f>
        <v>0</v>
      </c>
      <c r="O51" s="17">
        <f>COUNTIF(Table19[[#This Row],[Community club (type name of club(s). All clubs will count as ''1'']],"*")</f>
        <v>0</v>
      </c>
      <c r="P51" s="17">
        <f>IF(OR(Table19[[#This Row],[Total Challenges]]&gt;0,Table19[[#This Row],[Total Ex-C Clubs]]&gt;0,Table19[[#This Row],[Total Intra-School Sports]]&gt;0,Table19[[#This Row],[Total Inter-School Sports]]&gt;0,Table19[[#This Row],[Community Clubs]]&gt;0),1,0)</f>
        <v>0</v>
      </c>
      <c r="Q51" s="22"/>
      <c r="R51" s="22"/>
      <c r="S51" s="22"/>
      <c r="T51" s="22"/>
      <c r="U51" s="22"/>
      <c r="V51" s="22"/>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21"/>
    </row>
    <row r="52" spans="1:218" x14ac:dyDescent="0.25">
      <c r="A52" s="22"/>
      <c r="B52" s="22"/>
      <c r="C52" s="22"/>
      <c r="D52" s="22"/>
      <c r="E52" s="22"/>
      <c r="F52" s="22"/>
      <c r="G52" s="22"/>
      <c r="H52" s="22"/>
      <c r="I52" s="22"/>
      <c r="J52" s="22"/>
      <c r="K52" s="17">
        <f>SUM(Table19[[#This Row],[Challenge 1]:[Challenge 50]])</f>
        <v>0</v>
      </c>
      <c r="L52" s="88">
        <f>SUM(Table19[[#This Row],[Club 1]:[Club 50]])</f>
        <v>0</v>
      </c>
      <c r="M52" s="88">
        <f>SUM(Table19[[#This Row],[Intra-school sports 1]:[Intra-school sports 50]])</f>
        <v>0</v>
      </c>
      <c r="N52" s="88">
        <f>SUM(Table19[[#This Row],[Inter School sports 1]:[Inter School sports 50]])</f>
        <v>0</v>
      </c>
      <c r="O52" s="17">
        <f>COUNTIF(Table19[[#This Row],[Community club (type name of club(s). All clubs will count as ''1'']],"*")</f>
        <v>0</v>
      </c>
      <c r="P52" s="17">
        <f>IF(OR(Table19[[#This Row],[Total Challenges]]&gt;0,Table19[[#This Row],[Total Ex-C Clubs]]&gt;0,Table19[[#This Row],[Total Intra-School Sports]]&gt;0,Table19[[#This Row],[Total Inter-School Sports]]&gt;0,Table19[[#This Row],[Community Clubs]]&gt;0),1,0)</f>
        <v>0</v>
      </c>
      <c r="Q52" s="22"/>
      <c r="R52" s="22"/>
      <c r="S52" s="22"/>
      <c r="T52" s="22"/>
      <c r="U52" s="22"/>
      <c r="V52" s="22"/>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21"/>
    </row>
    <row r="53" spans="1:218" x14ac:dyDescent="0.25">
      <c r="A53" s="22"/>
      <c r="B53" s="22"/>
      <c r="C53" s="22"/>
      <c r="D53" s="22"/>
      <c r="E53" s="22"/>
      <c r="F53" s="22"/>
      <c r="G53" s="22"/>
      <c r="H53" s="22"/>
      <c r="I53" s="22"/>
      <c r="J53" s="22"/>
      <c r="K53" s="17">
        <f>SUM(Table19[[#This Row],[Challenge 1]:[Challenge 50]])</f>
        <v>0</v>
      </c>
      <c r="L53" s="88">
        <f>SUM(Table19[[#This Row],[Club 1]:[Club 50]])</f>
        <v>0</v>
      </c>
      <c r="M53" s="88">
        <f>SUM(Table19[[#This Row],[Intra-school sports 1]:[Intra-school sports 50]])</f>
        <v>0</v>
      </c>
      <c r="N53" s="88">
        <f>SUM(Table19[[#This Row],[Inter School sports 1]:[Inter School sports 50]])</f>
        <v>0</v>
      </c>
      <c r="O53" s="17">
        <f>COUNTIF(Table19[[#This Row],[Community club (type name of club(s). All clubs will count as ''1'']],"*")</f>
        <v>0</v>
      </c>
      <c r="P53" s="17">
        <f>IF(OR(Table19[[#This Row],[Total Challenges]]&gt;0,Table19[[#This Row],[Total Ex-C Clubs]]&gt;0,Table19[[#This Row],[Total Intra-School Sports]]&gt;0,Table19[[#This Row],[Total Inter-School Sports]]&gt;0,Table19[[#This Row],[Community Clubs]]&gt;0),1,0)</f>
        <v>0</v>
      </c>
      <c r="Q53" s="22"/>
      <c r="R53" s="22"/>
      <c r="S53" s="22"/>
      <c r="T53" s="22"/>
      <c r="U53" s="22"/>
      <c r="V53" s="22"/>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21"/>
    </row>
    <row r="54" spans="1:218" x14ac:dyDescent="0.25">
      <c r="A54" s="22"/>
      <c r="B54" s="22"/>
      <c r="C54" s="22"/>
      <c r="D54" s="22"/>
      <c r="E54" s="22"/>
      <c r="F54" s="22"/>
      <c r="G54" s="22"/>
      <c r="H54" s="22"/>
      <c r="I54" s="22"/>
      <c r="J54" s="22"/>
      <c r="K54" s="17">
        <f>SUM(Table19[[#This Row],[Challenge 1]:[Challenge 50]])</f>
        <v>0</v>
      </c>
      <c r="L54" s="88">
        <f>SUM(Table19[[#This Row],[Club 1]:[Club 50]])</f>
        <v>0</v>
      </c>
      <c r="M54" s="88">
        <f>SUM(Table19[[#This Row],[Intra-school sports 1]:[Intra-school sports 50]])</f>
        <v>0</v>
      </c>
      <c r="N54" s="88">
        <f>SUM(Table19[[#This Row],[Inter School sports 1]:[Inter School sports 50]])</f>
        <v>0</v>
      </c>
      <c r="O54" s="17">
        <f>COUNTIF(Table19[[#This Row],[Community club (type name of club(s). All clubs will count as ''1'']],"*")</f>
        <v>0</v>
      </c>
      <c r="P54" s="17">
        <f>IF(OR(Table19[[#This Row],[Total Challenges]]&gt;0,Table19[[#This Row],[Total Ex-C Clubs]]&gt;0,Table19[[#This Row],[Total Intra-School Sports]]&gt;0,Table19[[#This Row],[Total Inter-School Sports]]&gt;0,Table19[[#This Row],[Community Clubs]]&gt;0),1,0)</f>
        <v>0</v>
      </c>
      <c r="Q54" s="22"/>
      <c r="R54" s="22"/>
      <c r="S54" s="22"/>
      <c r="T54" s="22"/>
      <c r="U54" s="22"/>
      <c r="V54" s="22"/>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21"/>
    </row>
    <row r="55" spans="1:218" x14ac:dyDescent="0.25">
      <c r="A55" s="22"/>
      <c r="B55" s="22"/>
      <c r="C55" s="22"/>
      <c r="D55" s="22"/>
      <c r="E55" s="22"/>
      <c r="F55" s="22"/>
      <c r="G55" s="22"/>
      <c r="H55" s="22"/>
      <c r="I55" s="22"/>
      <c r="J55" s="22"/>
      <c r="K55" s="17">
        <f>SUM(Table19[[#This Row],[Challenge 1]:[Challenge 50]])</f>
        <v>0</v>
      </c>
      <c r="L55" s="88">
        <f>SUM(Table19[[#This Row],[Club 1]:[Club 50]])</f>
        <v>0</v>
      </c>
      <c r="M55" s="88">
        <f>SUM(Table19[[#This Row],[Intra-school sports 1]:[Intra-school sports 50]])</f>
        <v>0</v>
      </c>
      <c r="N55" s="88">
        <f>SUM(Table19[[#This Row],[Inter School sports 1]:[Inter School sports 50]])</f>
        <v>0</v>
      </c>
      <c r="O55" s="17">
        <f>COUNTIF(Table19[[#This Row],[Community club (type name of club(s). All clubs will count as ''1'']],"*")</f>
        <v>0</v>
      </c>
      <c r="P55" s="17">
        <f>IF(OR(Table19[[#This Row],[Total Challenges]]&gt;0,Table19[[#This Row],[Total Ex-C Clubs]]&gt;0,Table19[[#This Row],[Total Intra-School Sports]]&gt;0,Table19[[#This Row],[Total Inter-School Sports]]&gt;0,Table19[[#This Row],[Community Clubs]]&gt;0),1,0)</f>
        <v>0</v>
      </c>
      <c r="Q55" s="22"/>
      <c r="R55" s="22"/>
      <c r="S55" s="22"/>
      <c r="T55" s="22"/>
      <c r="U55" s="22"/>
      <c r="V55" s="22"/>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21"/>
    </row>
    <row r="56" spans="1:218" x14ac:dyDescent="0.25">
      <c r="A56" s="22"/>
      <c r="B56" s="22"/>
      <c r="C56" s="22"/>
      <c r="D56" s="22"/>
      <c r="E56" s="22"/>
      <c r="F56" s="22"/>
      <c r="G56" s="22"/>
      <c r="H56" s="22"/>
      <c r="I56" s="22"/>
      <c r="J56" s="22"/>
      <c r="K56" s="17">
        <f>SUM(Table19[[#This Row],[Challenge 1]:[Challenge 50]])</f>
        <v>0</v>
      </c>
      <c r="L56" s="88">
        <f>SUM(Table19[[#This Row],[Club 1]:[Club 50]])</f>
        <v>0</v>
      </c>
      <c r="M56" s="88">
        <f>SUM(Table19[[#This Row],[Intra-school sports 1]:[Intra-school sports 50]])</f>
        <v>0</v>
      </c>
      <c r="N56" s="88">
        <f>SUM(Table19[[#This Row],[Inter School sports 1]:[Inter School sports 50]])</f>
        <v>0</v>
      </c>
      <c r="O56" s="17">
        <f>COUNTIF(Table19[[#This Row],[Community club (type name of club(s). All clubs will count as ''1'']],"*")</f>
        <v>0</v>
      </c>
      <c r="P56" s="17">
        <f>IF(OR(Table19[[#This Row],[Total Challenges]]&gt;0,Table19[[#This Row],[Total Ex-C Clubs]]&gt;0,Table19[[#This Row],[Total Intra-School Sports]]&gt;0,Table19[[#This Row],[Total Inter-School Sports]]&gt;0,Table19[[#This Row],[Community Clubs]]&gt;0),1,0)</f>
        <v>0</v>
      </c>
      <c r="Q56" s="22"/>
      <c r="R56" s="22"/>
      <c r="S56" s="22"/>
      <c r="T56" s="22"/>
      <c r="U56" s="22"/>
      <c r="V56" s="22"/>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21"/>
    </row>
    <row r="57" spans="1:218" x14ac:dyDescent="0.25">
      <c r="A57" s="22"/>
      <c r="B57" s="22"/>
      <c r="C57" s="22"/>
      <c r="D57" s="22"/>
      <c r="E57" s="22"/>
      <c r="F57" s="22"/>
      <c r="G57" s="22"/>
      <c r="H57" s="22"/>
      <c r="I57" s="22"/>
      <c r="J57" s="22"/>
      <c r="K57" s="17">
        <f>SUM(Table19[[#This Row],[Challenge 1]:[Challenge 50]])</f>
        <v>0</v>
      </c>
      <c r="L57" s="88">
        <f>SUM(Table19[[#This Row],[Club 1]:[Club 50]])</f>
        <v>0</v>
      </c>
      <c r="M57" s="88">
        <f>SUM(Table19[[#This Row],[Intra-school sports 1]:[Intra-school sports 50]])</f>
        <v>0</v>
      </c>
      <c r="N57" s="88">
        <f>SUM(Table19[[#This Row],[Inter School sports 1]:[Inter School sports 50]])</f>
        <v>0</v>
      </c>
      <c r="O57" s="17">
        <f>COUNTIF(Table19[[#This Row],[Community club (type name of club(s). All clubs will count as ''1'']],"*")</f>
        <v>0</v>
      </c>
      <c r="P57" s="17">
        <f>IF(OR(Table19[[#This Row],[Total Challenges]]&gt;0,Table19[[#This Row],[Total Ex-C Clubs]]&gt;0,Table19[[#This Row],[Total Intra-School Sports]]&gt;0,Table19[[#This Row],[Total Inter-School Sports]]&gt;0,Table19[[#This Row],[Community Clubs]]&gt;0),1,0)</f>
        <v>0</v>
      </c>
      <c r="Q57" s="22"/>
      <c r="R57" s="22"/>
      <c r="S57" s="22"/>
      <c r="T57" s="22"/>
      <c r="U57" s="22"/>
      <c r="V57" s="22"/>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21"/>
    </row>
    <row r="58" spans="1:218" x14ac:dyDescent="0.25">
      <c r="A58" s="22"/>
      <c r="B58" s="22"/>
      <c r="C58" s="22"/>
      <c r="D58" s="22"/>
      <c r="E58" s="22"/>
      <c r="F58" s="22"/>
      <c r="G58" s="22"/>
      <c r="H58" s="22"/>
      <c r="I58" s="22"/>
      <c r="J58" s="22"/>
      <c r="K58" s="17">
        <f>SUM(Table19[[#This Row],[Challenge 1]:[Challenge 50]])</f>
        <v>0</v>
      </c>
      <c r="L58" s="88">
        <f>SUM(Table19[[#This Row],[Club 1]:[Club 50]])</f>
        <v>0</v>
      </c>
      <c r="M58" s="88">
        <f>SUM(Table19[[#This Row],[Intra-school sports 1]:[Intra-school sports 50]])</f>
        <v>0</v>
      </c>
      <c r="N58" s="88">
        <f>SUM(Table19[[#This Row],[Inter School sports 1]:[Inter School sports 50]])</f>
        <v>0</v>
      </c>
      <c r="O58" s="17">
        <f>COUNTIF(Table19[[#This Row],[Community club (type name of club(s). All clubs will count as ''1'']],"*")</f>
        <v>0</v>
      </c>
      <c r="P58" s="17">
        <f>IF(OR(Table19[[#This Row],[Total Challenges]]&gt;0,Table19[[#This Row],[Total Ex-C Clubs]]&gt;0,Table19[[#This Row],[Total Intra-School Sports]]&gt;0,Table19[[#This Row],[Total Inter-School Sports]]&gt;0,Table19[[#This Row],[Community Clubs]]&gt;0),1,0)</f>
        <v>0</v>
      </c>
      <c r="Q58" s="22"/>
      <c r="R58" s="22"/>
      <c r="S58" s="22"/>
      <c r="T58" s="22"/>
      <c r="U58" s="22"/>
      <c r="V58" s="22"/>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21"/>
    </row>
    <row r="59" spans="1:218" x14ac:dyDescent="0.25">
      <c r="A59" s="22"/>
      <c r="B59" s="22"/>
      <c r="C59" s="22"/>
      <c r="D59" s="22"/>
      <c r="E59" s="22"/>
      <c r="F59" s="22"/>
      <c r="G59" s="22"/>
      <c r="H59" s="22"/>
      <c r="I59" s="22"/>
      <c r="J59" s="22"/>
      <c r="K59" s="17">
        <f>SUM(Table19[[#This Row],[Challenge 1]:[Challenge 50]])</f>
        <v>0</v>
      </c>
      <c r="L59" s="88">
        <f>SUM(Table19[[#This Row],[Club 1]:[Club 50]])</f>
        <v>0</v>
      </c>
      <c r="M59" s="88">
        <f>SUM(Table19[[#This Row],[Intra-school sports 1]:[Intra-school sports 50]])</f>
        <v>0</v>
      </c>
      <c r="N59" s="88">
        <f>SUM(Table19[[#This Row],[Inter School sports 1]:[Inter School sports 50]])</f>
        <v>0</v>
      </c>
      <c r="O59" s="17">
        <f>COUNTIF(Table19[[#This Row],[Community club (type name of club(s). All clubs will count as ''1'']],"*")</f>
        <v>0</v>
      </c>
      <c r="P59" s="17">
        <f>IF(OR(Table19[[#This Row],[Total Challenges]]&gt;0,Table19[[#This Row],[Total Ex-C Clubs]]&gt;0,Table19[[#This Row],[Total Intra-School Sports]]&gt;0,Table19[[#This Row],[Total Inter-School Sports]]&gt;0,Table19[[#This Row],[Community Clubs]]&gt;0),1,0)</f>
        <v>0</v>
      </c>
      <c r="Q59" s="22"/>
      <c r="R59" s="22"/>
      <c r="S59" s="22"/>
      <c r="T59" s="22"/>
      <c r="U59" s="22"/>
      <c r="V59" s="22"/>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21"/>
    </row>
    <row r="60" spans="1:218" x14ac:dyDescent="0.25">
      <c r="A60" s="22"/>
      <c r="B60" s="22"/>
      <c r="C60" s="22"/>
      <c r="D60" s="22"/>
      <c r="E60" s="22"/>
      <c r="F60" s="22"/>
      <c r="G60" s="22"/>
      <c r="H60" s="22"/>
      <c r="I60" s="22"/>
      <c r="J60" s="22"/>
      <c r="K60" s="17">
        <f>SUM(Table19[[#This Row],[Challenge 1]:[Challenge 50]])</f>
        <v>0</v>
      </c>
      <c r="L60" s="88">
        <f>SUM(Table19[[#This Row],[Club 1]:[Club 50]])</f>
        <v>0</v>
      </c>
      <c r="M60" s="88">
        <f>SUM(Table19[[#This Row],[Intra-school sports 1]:[Intra-school sports 50]])</f>
        <v>0</v>
      </c>
      <c r="N60" s="88">
        <f>SUM(Table19[[#This Row],[Inter School sports 1]:[Inter School sports 50]])</f>
        <v>0</v>
      </c>
      <c r="O60" s="17">
        <f>COUNTIF(Table19[[#This Row],[Community club (type name of club(s). All clubs will count as ''1'']],"*")</f>
        <v>0</v>
      </c>
      <c r="P60" s="17">
        <f>IF(OR(Table19[[#This Row],[Total Challenges]]&gt;0,Table19[[#This Row],[Total Ex-C Clubs]]&gt;0,Table19[[#This Row],[Total Intra-School Sports]]&gt;0,Table19[[#This Row],[Total Inter-School Sports]]&gt;0,Table19[[#This Row],[Community Clubs]]&gt;0),1,0)</f>
        <v>0</v>
      </c>
      <c r="Q60" s="22"/>
      <c r="R60" s="22"/>
      <c r="S60" s="22"/>
      <c r="T60" s="22"/>
      <c r="U60" s="22"/>
      <c r="V60" s="22"/>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21"/>
    </row>
    <row r="61" spans="1:218" x14ac:dyDescent="0.25">
      <c r="A61" s="22"/>
      <c r="B61" s="22"/>
      <c r="C61" s="22"/>
      <c r="D61" s="22"/>
      <c r="E61" s="22"/>
      <c r="F61" s="22"/>
      <c r="G61" s="22"/>
      <c r="H61" s="22"/>
      <c r="I61" s="22"/>
      <c r="J61" s="22"/>
      <c r="K61" s="17">
        <f>SUM(Table19[[#This Row],[Challenge 1]:[Challenge 50]])</f>
        <v>0</v>
      </c>
      <c r="L61" s="88">
        <f>SUM(Table19[[#This Row],[Club 1]:[Club 50]])</f>
        <v>0</v>
      </c>
      <c r="M61" s="88">
        <f>SUM(Table19[[#This Row],[Intra-school sports 1]:[Intra-school sports 50]])</f>
        <v>0</v>
      </c>
      <c r="N61" s="88">
        <f>SUM(Table19[[#This Row],[Inter School sports 1]:[Inter School sports 50]])</f>
        <v>0</v>
      </c>
      <c r="O61" s="17">
        <f>COUNTIF(Table19[[#This Row],[Community club (type name of club(s). All clubs will count as ''1'']],"*")</f>
        <v>0</v>
      </c>
      <c r="P61" s="17">
        <f>IF(OR(Table19[[#This Row],[Total Challenges]]&gt;0,Table19[[#This Row],[Total Ex-C Clubs]]&gt;0,Table19[[#This Row],[Total Intra-School Sports]]&gt;0,Table19[[#This Row],[Total Inter-School Sports]]&gt;0,Table19[[#This Row],[Community Clubs]]&gt;0),1,0)</f>
        <v>0</v>
      </c>
      <c r="Q61" s="22"/>
      <c r="R61" s="22"/>
      <c r="S61" s="22"/>
      <c r="T61" s="22"/>
      <c r="U61" s="22"/>
      <c r="V61" s="22"/>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21"/>
    </row>
    <row r="62" spans="1:218" x14ac:dyDescent="0.25">
      <c r="A62" s="22"/>
      <c r="B62" s="22"/>
      <c r="C62" s="22"/>
      <c r="D62" s="22"/>
      <c r="E62" s="22"/>
      <c r="F62" s="22"/>
      <c r="G62" s="22"/>
      <c r="H62" s="22"/>
      <c r="I62" s="22"/>
      <c r="J62" s="22"/>
      <c r="K62" s="17">
        <f>SUM(Table19[[#This Row],[Challenge 1]:[Challenge 50]])</f>
        <v>0</v>
      </c>
      <c r="L62" s="88">
        <f>SUM(Table19[[#This Row],[Club 1]:[Club 50]])</f>
        <v>0</v>
      </c>
      <c r="M62" s="88">
        <f>SUM(Table19[[#This Row],[Intra-school sports 1]:[Intra-school sports 50]])</f>
        <v>0</v>
      </c>
      <c r="N62" s="88">
        <f>SUM(Table19[[#This Row],[Inter School sports 1]:[Inter School sports 50]])</f>
        <v>0</v>
      </c>
      <c r="O62" s="17">
        <f>COUNTIF(Table19[[#This Row],[Community club (type name of club(s). All clubs will count as ''1'']],"*")</f>
        <v>0</v>
      </c>
      <c r="P62" s="17">
        <f>IF(OR(Table19[[#This Row],[Total Challenges]]&gt;0,Table19[[#This Row],[Total Ex-C Clubs]]&gt;0,Table19[[#This Row],[Total Intra-School Sports]]&gt;0,Table19[[#This Row],[Total Inter-School Sports]]&gt;0,Table19[[#This Row],[Community Clubs]]&gt;0),1,0)</f>
        <v>0</v>
      </c>
      <c r="Q62" s="22"/>
      <c r="R62" s="22"/>
      <c r="S62" s="22"/>
      <c r="T62" s="22"/>
      <c r="U62" s="22"/>
      <c r="V62" s="22"/>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21"/>
    </row>
    <row r="63" spans="1:218" x14ac:dyDescent="0.25">
      <c r="A63" s="22"/>
      <c r="B63" s="22"/>
      <c r="C63" s="22"/>
      <c r="D63" s="22"/>
      <c r="E63" s="22"/>
      <c r="F63" s="22"/>
      <c r="G63" s="22"/>
      <c r="H63" s="22"/>
      <c r="I63" s="22"/>
      <c r="J63" s="22"/>
      <c r="K63" s="17">
        <f>SUM(Table19[[#This Row],[Challenge 1]:[Challenge 50]])</f>
        <v>0</v>
      </c>
      <c r="L63" s="88">
        <f>SUM(Table19[[#This Row],[Club 1]:[Club 50]])</f>
        <v>0</v>
      </c>
      <c r="M63" s="88">
        <f>SUM(Table19[[#This Row],[Intra-school sports 1]:[Intra-school sports 50]])</f>
        <v>0</v>
      </c>
      <c r="N63" s="88">
        <f>SUM(Table19[[#This Row],[Inter School sports 1]:[Inter School sports 50]])</f>
        <v>0</v>
      </c>
      <c r="O63" s="17">
        <f>COUNTIF(Table19[[#This Row],[Community club (type name of club(s). All clubs will count as ''1'']],"*")</f>
        <v>0</v>
      </c>
      <c r="P63" s="17">
        <f>IF(OR(Table19[[#This Row],[Total Challenges]]&gt;0,Table19[[#This Row],[Total Ex-C Clubs]]&gt;0,Table19[[#This Row],[Total Intra-School Sports]]&gt;0,Table19[[#This Row],[Total Inter-School Sports]]&gt;0,Table19[[#This Row],[Community Clubs]]&gt;0),1,0)</f>
        <v>0</v>
      </c>
      <c r="Q63" s="22"/>
      <c r="R63" s="22"/>
      <c r="S63" s="22"/>
      <c r="T63" s="22"/>
      <c r="U63" s="22"/>
      <c r="V63" s="22"/>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21"/>
    </row>
    <row r="64" spans="1:218" x14ac:dyDescent="0.25">
      <c r="A64" s="22"/>
      <c r="B64" s="22"/>
      <c r="C64" s="22"/>
      <c r="D64" s="22"/>
      <c r="E64" s="22"/>
      <c r="F64" s="22"/>
      <c r="G64" s="22"/>
      <c r="H64" s="22"/>
      <c r="I64" s="22"/>
      <c r="J64" s="22"/>
      <c r="K64" s="17">
        <f>SUM(Table19[[#This Row],[Challenge 1]:[Challenge 50]])</f>
        <v>0</v>
      </c>
      <c r="L64" s="88">
        <f>SUM(Table19[[#This Row],[Club 1]:[Club 50]])</f>
        <v>0</v>
      </c>
      <c r="M64" s="88">
        <f>SUM(Table19[[#This Row],[Intra-school sports 1]:[Intra-school sports 50]])</f>
        <v>0</v>
      </c>
      <c r="N64" s="88">
        <f>SUM(Table19[[#This Row],[Inter School sports 1]:[Inter School sports 50]])</f>
        <v>0</v>
      </c>
      <c r="O64" s="17">
        <f>COUNTIF(Table19[[#This Row],[Community club (type name of club(s). All clubs will count as ''1'']],"*")</f>
        <v>0</v>
      </c>
      <c r="P64" s="17">
        <f>IF(OR(Table19[[#This Row],[Total Challenges]]&gt;0,Table19[[#This Row],[Total Ex-C Clubs]]&gt;0,Table19[[#This Row],[Total Intra-School Sports]]&gt;0,Table19[[#This Row],[Total Inter-School Sports]]&gt;0,Table19[[#This Row],[Community Clubs]]&gt;0),1,0)</f>
        <v>0</v>
      </c>
      <c r="Q64" s="22"/>
      <c r="R64" s="22"/>
      <c r="S64" s="22"/>
      <c r="T64" s="22"/>
      <c r="U64" s="22"/>
      <c r="V64" s="22"/>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21"/>
    </row>
    <row r="65" spans="1:218" x14ac:dyDescent="0.25">
      <c r="A65" s="22"/>
      <c r="B65" s="22"/>
      <c r="C65" s="22"/>
      <c r="D65" s="22"/>
      <c r="E65" s="22"/>
      <c r="F65" s="22"/>
      <c r="G65" s="22"/>
      <c r="H65" s="22"/>
      <c r="I65" s="22"/>
      <c r="J65" s="22"/>
      <c r="K65" s="17">
        <f>SUM(Table19[[#This Row],[Challenge 1]:[Challenge 50]])</f>
        <v>0</v>
      </c>
      <c r="L65" s="88">
        <f>SUM(Table19[[#This Row],[Club 1]:[Club 50]])</f>
        <v>0</v>
      </c>
      <c r="M65" s="88">
        <f>SUM(Table19[[#This Row],[Intra-school sports 1]:[Intra-school sports 50]])</f>
        <v>0</v>
      </c>
      <c r="N65" s="88">
        <f>SUM(Table19[[#This Row],[Inter School sports 1]:[Inter School sports 50]])</f>
        <v>0</v>
      </c>
      <c r="O65" s="17">
        <f>COUNTIF(Table19[[#This Row],[Community club (type name of club(s). All clubs will count as ''1'']],"*")</f>
        <v>0</v>
      </c>
      <c r="P65" s="17">
        <f>IF(OR(Table19[[#This Row],[Total Challenges]]&gt;0,Table19[[#This Row],[Total Ex-C Clubs]]&gt;0,Table19[[#This Row],[Total Intra-School Sports]]&gt;0,Table19[[#This Row],[Total Inter-School Sports]]&gt;0,Table19[[#This Row],[Community Clubs]]&gt;0),1,0)</f>
        <v>0</v>
      </c>
      <c r="Q65" s="22"/>
      <c r="R65" s="22"/>
      <c r="S65" s="22"/>
      <c r="T65" s="22"/>
      <c r="U65" s="22"/>
      <c r="V65" s="22"/>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21"/>
    </row>
    <row r="66" spans="1:218" x14ac:dyDescent="0.25">
      <c r="A66" s="22"/>
      <c r="B66" s="22"/>
      <c r="C66" s="22"/>
      <c r="D66" s="22"/>
      <c r="E66" s="22"/>
      <c r="F66" s="22"/>
      <c r="G66" s="22"/>
      <c r="H66" s="22"/>
      <c r="I66" s="22"/>
      <c r="J66" s="22"/>
      <c r="K66" s="17">
        <f>SUM(Table19[[#This Row],[Challenge 1]:[Challenge 50]])</f>
        <v>0</v>
      </c>
      <c r="L66" s="88">
        <f>SUM(Table19[[#This Row],[Club 1]:[Club 50]])</f>
        <v>0</v>
      </c>
      <c r="M66" s="88">
        <f>SUM(Table19[[#This Row],[Intra-school sports 1]:[Intra-school sports 50]])</f>
        <v>0</v>
      </c>
      <c r="N66" s="88">
        <f>SUM(Table19[[#This Row],[Inter School sports 1]:[Inter School sports 50]])</f>
        <v>0</v>
      </c>
      <c r="O66" s="17">
        <f>COUNTIF(Table19[[#This Row],[Community club (type name of club(s). All clubs will count as ''1'']],"*")</f>
        <v>0</v>
      </c>
      <c r="P66" s="17">
        <f>IF(OR(Table19[[#This Row],[Total Challenges]]&gt;0,Table19[[#This Row],[Total Ex-C Clubs]]&gt;0,Table19[[#This Row],[Total Intra-School Sports]]&gt;0,Table19[[#This Row],[Total Inter-School Sports]]&gt;0,Table19[[#This Row],[Community Clubs]]&gt;0),1,0)</f>
        <v>0</v>
      </c>
      <c r="Q66" s="22"/>
      <c r="R66" s="22"/>
      <c r="S66" s="22"/>
      <c r="T66" s="22"/>
      <c r="U66" s="22"/>
      <c r="V66" s="22"/>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21"/>
    </row>
    <row r="67" spans="1:218" x14ac:dyDescent="0.25">
      <c r="A67" s="22"/>
      <c r="B67" s="22"/>
      <c r="C67" s="22"/>
      <c r="D67" s="22"/>
      <c r="E67" s="22"/>
      <c r="F67" s="22"/>
      <c r="G67" s="22"/>
      <c r="H67" s="22"/>
      <c r="I67" s="22"/>
      <c r="J67" s="22"/>
      <c r="K67" s="17">
        <f>SUM(Table19[[#This Row],[Challenge 1]:[Challenge 50]])</f>
        <v>0</v>
      </c>
      <c r="L67" s="88">
        <f>SUM(Table19[[#This Row],[Club 1]:[Club 50]])</f>
        <v>0</v>
      </c>
      <c r="M67" s="88">
        <f>SUM(Table19[[#This Row],[Intra-school sports 1]:[Intra-school sports 50]])</f>
        <v>0</v>
      </c>
      <c r="N67" s="88">
        <f>SUM(Table19[[#This Row],[Inter School sports 1]:[Inter School sports 50]])</f>
        <v>0</v>
      </c>
      <c r="O67" s="17">
        <f>COUNTIF(Table19[[#This Row],[Community club (type name of club(s). All clubs will count as ''1'']],"*")</f>
        <v>0</v>
      </c>
      <c r="P67" s="17">
        <f>IF(OR(Table19[[#This Row],[Total Challenges]]&gt;0,Table19[[#This Row],[Total Ex-C Clubs]]&gt;0,Table19[[#This Row],[Total Intra-School Sports]]&gt;0,Table19[[#This Row],[Total Inter-School Sports]]&gt;0,Table19[[#This Row],[Community Clubs]]&gt;0),1,0)</f>
        <v>0</v>
      </c>
      <c r="Q67" s="22"/>
      <c r="R67" s="22"/>
      <c r="S67" s="22"/>
      <c r="T67" s="22"/>
      <c r="U67" s="22"/>
      <c r="V67" s="22"/>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21"/>
    </row>
    <row r="68" spans="1:218" x14ac:dyDescent="0.25">
      <c r="A68" s="22"/>
      <c r="B68" s="22"/>
      <c r="C68" s="22"/>
      <c r="D68" s="22"/>
      <c r="E68" s="22"/>
      <c r="F68" s="22"/>
      <c r="G68" s="22"/>
      <c r="H68" s="22"/>
      <c r="I68" s="22"/>
      <c r="J68" s="22"/>
      <c r="K68" s="17">
        <f>SUM(Table19[[#This Row],[Challenge 1]:[Challenge 50]])</f>
        <v>0</v>
      </c>
      <c r="L68" s="88">
        <f>SUM(Table19[[#This Row],[Club 1]:[Club 50]])</f>
        <v>0</v>
      </c>
      <c r="M68" s="88">
        <f>SUM(Table19[[#This Row],[Intra-school sports 1]:[Intra-school sports 50]])</f>
        <v>0</v>
      </c>
      <c r="N68" s="88">
        <f>SUM(Table19[[#This Row],[Inter School sports 1]:[Inter School sports 50]])</f>
        <v>0</v>
      </c>
      <c r="O68" s="17">
        <f>COUNTIF(Table19[[#This Row],[Community club (type name of club(s). All clubs will count as ''1'']],"*")</f>
        <v>0</v>
      </c>
      <c r="P68" s="17">
        <f>IF(OR(Table19[[#This Row],[Total Challenges]]&gt;0,Table19[[#This Row],[Total Ex-C Clubs]]&gt;0,Table19[[#This Row],[Total Intra-School Sports]]&gt;0,Table19[[#This Row],[Total Inter-School Sports]]&gt;0,Table19[[#This Row],[Community Clubs]]&gt;0),1,0)</f>
        <v>0</v>
      </c>
      <c r="Q68" s="22"/>
      <c r="R68" s="22"/>
      <c r="S68" s="22"/>
      <c r="T68" s="22"/>
      <c r="U68" s="22"/>
      <c r="V68" s="22"/>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21"/>
    </row>
    <row r="69" spans="1:218" x14ac:dyDescent="0.25">
      <c r="A69" s="22"/>
      <c r="B69" s="22"/>
      <c r="C69" s="22"/>
      <c r="D69" s="22"/>
      <c r="E69" s="22"/>
      <c r="F69" s="22"/>
      <c r="G69" s="22"/>
      <c r="H69" s="22"/>
      <c r="I69" s="22"/>
      <c r="J69" s="22"/>
      <c r="K69" s="17">
        <f>SUM(Table19[[#This Row],[Challenge 1]:[Challenge 50]])</f>
        <v>0</v>
      </c>
      <c r="L69" s="88">
        <f>SUM(Table19[[#This Row],[Club 1]:[Club 50]])</f>
        <v>0</v>
      </c>
      <c r="M69" s="88">
        <f>SUM(Table19[[#This Row],[Intra-school sports 1]:[Intra-school sports 50]])</f>
        <v>0</v>
      </c>
      <c r="N69" s="88">
        <f>SUM(Table19[[#This Row],[Inter School sports 1]:[Inter School sports 50]])</f>
        <v>0</v>
      </c>
      <c r="O69" s="17">
        <f>COUNTIF(Table19[[#This Row],[Community club (type name of club(s). All clubs will count as ''1'']],"*")</f>
        <v>0</v>
      </c>
      <c r="P69" s="17">
        <f>IF(OR(Table19[[#This Row],[Total Challenges]]&gt;0,Table19[[#This Row],[Total Ex-C Clubs]]&gt;0,Table19[[#This Row],[Total Intra-School Sports]]&gt;0,Table19[[#This Row],[Total Inter-School Sports]]&gt;0,Table19[[#This Row],[Community Clubs]]&gt;0),1,0)</f>
        <v>0</v>
      </c>
      <c r="Q69" s="22"/>
      <c r="R69" s="22"/>
      <c r="S69" s="22"/>
      <c r="T69" s="22"/>
      <c r="U69" s="22"/>
      <c r="V69" s="22"/>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21"/>
    </row>
    <row r="70" spans="1:218" x14ac:dyDescent="0.25">
      <c r="A70" s="22"/>
      <c r="B70" s="22"/>
      <c r="C70" s="22"/>
      <c r="D70" s="22"/>
      <c r="E70" s="22"/>
      <c r="F70" s="22"/>
      <c r="G70" s="22"/>
      <c r="H70" s="22"/>
      <c r="I70" s="22"/>
      <c r="J70" s="22"/>
      <c r="K70" s="17">
        <f>SUM(Table19[[#This Row],[Challenge 1]:[Challenge 50]])</f>
        <v>0</v>
      </c>
      <c r="L70" s="88">
        <f>SUM(Table19[[#This Row],[Club 1]:[Club 50]])</f>
        <v>0</v>
      </c>
      <c r="M70" s="88">
        <f>SUM(Table19[[#This Row],[Intra-school sports 1]:[Intra-school sports 50]])</f>
        <v>0</v>
      </c>
      <c r="N70" s="88">
        <f>SUM(Table19[[#This Row],[Inter School sports 1]:[Inter School sports 50]])</f>
        <v>0</v>
      </c>
      <c r="O70" s="17">
        <f>COUNTIF(Table19[[#This Row],[Community club (type name of club(s). All clubs will count as ''1'']],"*")</f>
        <v>0</v>
      </c>
      <c r="P70" s="17">
        <f>IF(OR(Table19[[#This Row],[Total Challenges]]&gt;0,Table19[[#This Row],[Total Ex-C Clubs]]&gt;0,Table19[[#This Row],[Total Intra-School Sports]]&gt;0,Table19[[#This Row],[Total Inter-School Sports]]&gt;0,Table19[[#This Row],[Community Clubs]]&gt;0),1,0)</f>
        <v>0</v>
      </c>
      <c r="Q70" s="22"/>
      <c r="R70" s="22"/>
      <c r="S70" s="22"/>
      <c r="T70" s="22"/>
      <c r="U70" s="22"/>
      <c r="V70" s="22"/>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21"/>
    </row>
    <row r="71" spans="1:218" x14ac:dyDescent="0.25">
      <c r="A71" s="22"/>
      <c r="B71" s="22"/>
      <c r="C71" s="22"/>
      <c r="D71" s="22"/>
      <c r="E71" s="22"/>
      <c r="F71" s="22"/>
      <c r="G71" s="22"/>
      <c r="H71" s="22"/>
      <c r="I71" s="22"/>
      <c r="J71" s="22"/>
      <c r="K71" s="17">
        <f>SUM(Table19[[#This Row],[Challenge 1]:[Challenge 50]])</f>
        <v>0</v>
      </c>
      <c r="L71" s="88">
        <f>SUM(Table19[[#This Row],[Club 1]:[Club 50]])</f>
        <v>0</v>
      </c>
      <c r="M71" s="88">
        <f>SUM(Table19[[#This Row],[Intra-school sports 1]:[Intra-school sports 50]])</f>
        <v>0</v>
      </c>
      <c r="N71" s="88">
        <f>SUM(Table19[[#This Row],[Inter School sports 1]:[Inter School sports 50]])</f>
        <v>0</v>
      </c>
      <c r="O71" s="17">
        <f>COUNTIF(Table19[[#This Row],[Community club (type name of club(s). All clubs will count as ''1'']],"*")</f>
        <v>0</v>
      </c>
      <c r="P71" s="17">
        <f>IF(OR(Table19[[#This Row],[Total Challenges]]&gt;0,Table19[[#This Row],[Total Ex-C Clubs]]&gt;0,Table19[[#This Row],[Total Intra-School Sports]]&gt;0,Table19[[#This Row],[Total Inter-School Sports]]&gt;0,Table19[[#This Row],[Community Clubs]]&gt;0),1,0)</f>
        <v>0</v>
      </c>
      <c r="Q71" s="22"/>
      <c r="R71" s="22"/>
      <c r="S71" s="22"/>
      <c r="T71" s="22"/>
      <c r="U71" s="22"/>
      <c r="V71" s="22"/>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21"/>
    </row>
    <row r="72" spans="1:218" x14ac:dyDescent="0.25">
      <c r="A72" s="22"/>
      <c r="B72" s="22"/>
      <c r="C72" s="22"/>
      <c r="D72" s="22"/>
      <c r="E72" s="22"/>
      <c r="F72" s="22"/>
      <c r="G72" s="22"/>
      <c r="H72" s="22"/>
      <c r="I72" s="22"/>
      <c r="J72" s="22"/>
      <c r="K72" s="17">
        <f>SUM(Table19[[#This Row],[Challenge 1]:[Challenge 50]])</f>
        <v>0</v>
      </c>
      <c r="L72" s="88">
        <f>SUM(Table19[[#This Row],[Club 1]:[Club 50]])</f>
        <v>0</v>
      </c>
      <c r="M72" s="88">
        <f>SUM(Table19[[#This Row],[Intra-school sports 1]:[Intra-school sports 50]])</f>
        <v>0</v>
      </c>
      <c r="N72" s="88">
        <f>SUM(Table19[[#This Row],[Inter School sports 1]:[Inter School sports 50]])</f>
        <v>0</v>
      </c>
      <c r="O72" s="17">
        <f>COUNTIF(Table19[[#This Row],[Community club (type name of club(s). All clubs will count as ''1'']],"*")</f>
        <v>0</v>
      </c>
      <c r="P72" s="17">
        <f>IF(OR(Table19[[#This Row],[Total Challenges]]&gt;0,Table19[[#This Row],[Total Ex-C Clubs]]&gt;0,Table19[[#This Row],[Total Intra-School Sports]]&gt;0,Table19[[#This Row],[Total Inter-School Sports]]&gt;0,Table19[[#This Row],[Community Clubs]]&gt;0),1,0)</f>
        <v>0</v>
      </c>
      <c r="Q72" s="22"/>
      <c r="R72" s="22"/>
      <c r="S72" s="22"/>
      <c r="T72" s="22"/>
      <c r="U72" s="22"/>
      <c r="V72" s="22"/>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21"/>
    </row>
    <row r="73" spans="1:218" x14ac:dyDescent="0.25">
      <c r="A73" s="22"/>
      <c r="B73" s="22"/>
      <c r="C73" s="22"/>
      <c r="D73" s="22"/>
      <c r="E73" s="22"/>
      <c r="F73" s="22"/>
      <c r="G73" s="22"/>
      <c r="H73" s="22"/>
      <c r="I73" s="22"/>
      <c r="J73" s="22"/>
      <c r="K73" s="17">
        <f>SUM(Table19[[#This Row],[Challenge 1]:[Challenge 50]])</f>
        <v>0</v>
      </c>
      <c r="L73" s="88">
        <f>SUM(Table19[[#This Row],[Club 1]:[Club 50]])</f>
        <v>0</v>
      </c>
      <c r="M73" s="88">
        <f>SUM(Table19[[#This Row],[Intra-school sports 1]:[Intra-school sports 50]])</f>
        <v>0</v>
      </c>
      <c r="N73" s="88">
        <f>SUM(Table19[[#This Row],[Inter School sports 1]:[Inter School sports 50]])</f>
        <v>0</v>
      </c>
      <c r="O73" s="17">
        <f>COUNTIF(Table19[[#This Row],[Community club (type name of club(s). All clubs will count as ''1'']],"*")</f>
        <v>0</v>
      </c>
      <c r="P73" s="17">
        <f>IF(OR(Table19[[#This Row],[Total Challenges]]&gt;0,Table19[[#This Row],[Total Ex-C Clubs]]&gt;0,Table19[[#This Row],[Total Intra-School Sports]]&gt;0,Table19[[#This Row],[Total Inter-School Sports]]&gt;0,Table19[[#This Row],[Community Clubs]]&gt;0),1,0)</f>
        <v>0</v>
      </c>
      <c r="Q73" s="22"/>
      <c r="R73" s="22"/>
      <c r="S73" s="22"/>
      <c r="T73" s="22"/>
      <c r="U73" s="22"/>
      <c r="V73" s="22"/>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21"/>
    </row>
    <row r="74" spans="1:218" x14ac:dyDescent="0.25">
      <c r="A74" s="22"/>
      <c r="B74" s="22"/>
      <c r="C74" s="22"/>
      <c r="D74" s="22"/>
      <c r="E74" s="22"/>
      <c r="F74" s="22"/>
      <c r="G74" s="22"/>
      <c r="H74" s="22"/>
      <c r="I74" s="22"/>
      <c r="J74" s="22"/>
      <c r="K74" s="17">
        <f>SUM(Table19[[#This Row],[Challenge 1]:[Challenge 50]])</f>
        <v>0</v>
      </c>
      <c r="L74" s="88">
        <f>SUM(Table19[[#This Row],[Club 1]:[Club 50]])</f>
        <v>0</v>
      </c>
      <c r="M74" s="88">
        <f>SUM(Table19[[#This Row],[Intra-school sports 1]:[Intra-school sports 50]])</f>
        <v>0</v>
      </c>
      <c r="N74" s="88">
        <f>SUM(Table19[[#This Row],[Inter School sports 1]:[Inter School sports 50]])</f>
        <v>0</v>
      </c>
      <c r="O74" s="17">
        <f>COUNTIF(Table19[[#This Row],[Community club (type name of club(s). All clubs will count as ''1'']],"*")</f>
        <v>0</v>
      </c>
      <c r="P74" s="17">
        <f>IF(OR(Table19[[#This Row],[Total Challenges]]&gt;0,Table19[[#This Row],[Total Ex-C Clubs]]&gt;0,Table19[[#This Row],[Total Intra-School Sports]]&gt;0,Table19[[#This Row],[Total Inter-School Sports]]&gt;0,Table19[[#This Row],[Community Clubs]]&gt;0),1,0)</f>
        <v>0</v>
      </c>
      <c r="Q74" s="22"/>
      <c r="R74" s="22"/>
      <c r="S74" s="22"/>
      <c r="T74" s="22"/>
      <c r="U74" s="22"/>
      <c r="V74" s="22"/>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21"/>
    </row>
    <row r="75" spans="1:218" x14ac:dyDescent="0.25">
      <c r="A75" s="22"/>
      <c r="B75" s="22"/>
      <c r="C75" s="22"/>
      <c r="D75" s="22"/>
      <c r="E75" s="22"/>
      <c r="F75" s="22"/>
      <c r="G75" s="22"/>
      <c r="H75" s="22"/>
      <c r="I75" s="22"/>
      <c r="J75" s="22"/>
      <c r="K75" s="17">
        <f>SUM(Table19[[#This Row],[Challenge 1]:[Challenge 50]])</f>
        <v>0</v>
      </c>
      <c r="L75" s="88">
        <f>SUM(Table19[[#This Row],[Club 1]:[Club 50]])</f>
        <v>0</v>
      </c>
      <c r="M75" s="88">
        <f>SUM(Table19[[#This Row],[Intra-school sports 1]:[Intra-school sports 50]])</f>
        <v>0</v>
      </c>
      <c r="N75" s="88">
        <f>SUM(Table19[[#This Row],[Inter School sports 1]:[Inter School sports 50]])</f>
        <v>0</v>
      </c>
      <c r="O75" s="17">
        <f>COUNTIF(Table19[[#This Row],[Community club (type name of club(s). All clubs will count as ''1'']],"*")</f>
        <v>0</v>
      </c>
      <c r="P75" s="17">
        <f>IF(OR(Table19[[#This Row],[Total Challenges]]&gt;0,Table19[[#This Row],[Total Ex-C Clubs]]&gt;0,Table19[[#This Row],[Total Intra-School Sports]]&gt;0,Table19[[#This Row],[Total Inter-School Sports]]&gt;0,Table19[[#This Row],[Community Clubs]]&gt;0),1,0)</f>
        <v>0</v>
      </c>
      <c r="Q75" s="22"/>
      <c r="R75" s="22"/>
      <c r="S75" s="22"/>
      <c r="T75" s="22"/>
      <c r="U75" s="22"/>
      <c r="V75" s="22"/>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21"/>
    </row>
    <row r="76" spans="1:218" x14ac:dyDescent="0.25">
      <c r="A76" s="22"/>
      <c r="B76" s="22"/>
      <c r="C76" s="22"/>
      <c r="D76" s="22"/>
      <c r="E76" s="22"/>
      <c r="F76" s="22"/>
      <c r="G76" s="22"/>
      <c r="H76" s="22"/>
      <c r="I76" s="22"/>
      <c r="J76" s="22"/>
      <c r="K76" s="17">
        <f>SUM(Table19[[#This Row],[Challenge 1]:[Challenge 50]])</f>
        <v>0</v>
      </c>
      <c r="L76" s="88">
        <f>SUM(Table19[[#This Row],[Club 1]:[Club 50]])</f>
        <v>0</v>
      </c>
      <c r="M76" s="88">
        <f>SUM(Table19[[#This Row],[Intra-school sports 1]:[Intra-school sports 50]])</f>
        <v>0</v>
      </c>
      <c r="N76" s="88">
        <f>SUM(Table19[[#This Row],[Inter School sports 1]:[Inter School sports 50]])</f>
        <v>0</v>
      </c>
      <c r="O76" s="17">
        <f>COUNTIF(Table19[[#This Row],[Community club (type name of club(s). All clubs will count as ''1'']],"*")</f>
        <v>0</v>
      </c>
      <c r="P76" s="17">
        <f>IF(OR(Table19[[#This Row],[Total Challenges]]&gt;0,Table19[[#This Row],[Total Ex-C Clubs]]&gt;0,Table19[[#This Row],[Total Intra-School Sports]]&gt;0,Table19[[#This Row],[Total Inter-School Sports]]&gt;0,Table19[[#This Row],[Community Clubs]]&gt;0),1,0)</f>
        <v>0</v>
      </c>
      <c r="Q76" s="22"/>
      <c r="R76" s="22"/>
      <c r="S76" s="22"/>
      <c r="T76" s="22"/>
      <c r="U76" s="22"/>
      <c r="V76" s="22"/>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21"/>
    </row>
    <row r="77" spans="1:218" x14ac:dyDescent="0.25">
      <c r="A77" s="22"/>
      <c r="B77" s="22"/>
      <c r="C77" s="22"/>
      <c r="D77" s="22"/>
      <c r="E77" s="22"/>
      <c r="F77" s="22"/>
      <c r="G77" s="22"/>
      <c r="H77" s="22"/>
      <c r="I77" s="22"/>
      <c r="J77" s="22"/>
      <c r="K77" s="17">
        <f>SUM(Table19[[#This Row],[Challenge 1]:[Challenge 50]])</f>
        <v>0</v>
      </c>
      <c r="L77" s="88">
        <f>SUM(Table19[[#This Row],[Club 1]:[Club 50]])</f>
        <v>0</v>
      </c>
      <c r="M77" s="88">
        <f>SUM(Table19[[#This Row],[Intra-school sports 1]:[Intra-school sports 50]])</f>
        <v>0</v>
      </c>
      <c r="N77" s="88">
        <f>SUM(Table19[[#This Row],[Inter School sports 1]:[Inter School sports 50]])</f>
        <v>0</v>
      </c>
      <c r="O77" s="17">
        <f>COUNTIF(Table19[[#This Row],[Community club (type name of club(s). All clubs will count as ''1'']],"*")</f>
        <v>0</v>
      </c>
      <c r="P77" s="17">
        <f>IF(OR(Table19[[#This Row],[Total Challenges]]&gt;0,Table19[[#This Row],[Total Ex-C Clubs]]&gt;0,Table19[[#This Row],[Total Intra-School Sports]]&gt;0,Table19[[#This Row],[Total Inter-School Sports]]&gt;0,Table19[[#This Row],[Community Clubs]]&gt;0),1,0)</f>
        <v>0</v>
      </c>
      <c r="Q77" s="22"/>
      <c r="R77" s="22"/>
      <c r="S77" s="22"/>
      <c r="T77" s="22"/>
      <c r="U77" s="22"/>
      <c r="V77" s="22"/>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21"/>
    </row>
    <row r="78" spans="1:218" x14ac:dyDescent="0.25">
      <c r="A78" s="22"/>
      <c r="B78" s="22"/>
      <c r="C78" s="22"/>
      <c r="D78" s="22"/>
      <c r="E78" s="22"/>
      <c r="F78" s="22"/>
      <c r="G78" s="22"/>
      <c r="H78" s="22"/>
      <c r="I78" s="22"/>
      <c r="J78" s="22"/>
      <c r="K78" s="17">
        <f>SUM(Table19[[#This Row],[Challenge 1]:[Challenge 50]])</f>
        <v>0</v>
      </c>
      <c r="L78" s="88">
        <f>SUM(Table19[[#This Row],[Club 1]:[Club 50]])</f>
        <v>0</v>
      </c>
      <c r="M78" s="88">
        <f>SUM(Table19[[#This Row],[Intra-school sports 1]:[Intra-school sports 50]])</f>
        <v>0</v>
      </c>
      <c r="N78" s="88">
        <f>SUM(Table19[[#This Row],[Inter School sports 1]:[Inter School sports 50]])</f>
        <v>0</v>
      </c>
      <c r="O78" s="17">
        <f>COUNTIF(Table19[[#This Row],[Community club (type name of club(s). All clubs will count as ''1'']],"*")</f>
        <v>0</v>
      </c>
      <c r="P78" s="17">
        <f>IF(OR(Table19[[#This Row],[Total Challenges]]&gt;0,Table19[[#This Row],[Total Ex-C Clubs]]&gt;0,Table19[[#This Row],[Total Intra-School Sports]]&gt;0,Table19[[#This Row],[Total Inter-School Sports]]&gt;0,Table19[[#This Row],[Community Clubs]]&gt;0),1,0)</f>
        <v>0</v>
      </c>
      <c r="Q78" s="22"/>
      <c r="R78" s="22"/>
      <c r="S78" s="22"/>
      <c r="T78" s="22"/>
      <c r="U78" s="22"/>
      <c r="V78" s="22"/>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21"/>
    </row>
    <row r="79" spans="1:218" x14ac:dyDescent="0.25">
      <c r="A79" s="22"/>
      <c r="B79" s="22"/>
      <c r="C79" s="22"/>
      <c r="D79" s="22"/>
      <c r="E79" s="22"/>
      <c r="F79" s="22"/>
      <c r="G79" s="22"/>
      <c r="H79" s="22"/>
      <c r="I79" s="22"/>
      <c r="J79" s="22"/>
      <c r="K79" s="17">
        <f>SUM(Table19[[#This Row],[Challenge 1]:[Challenge 50]])</f>
        <v>0</v>
      </c>
      <c r="L79" s="88">
        <f>SUM(Table19[[#This Row],[Club 1]:[Club 50]])</f>
        <v>0</v>
      </c>
      <c r="M79" s="88">
        <f>SUM(Table19[[#This Row],[Intra-school sports 1]:[Intra-school sports 50]])</f>
        <v>0</v>
      </c>
      <c r="N79" s="88">
        <f>SUM(Table19[[#This Row],[Inter School sports 1]:[Inter School sports 50]])</f>
        <v>0</v>
      </c>
      <c r="O79" s="17">
        <f>COUNTIF(Table19[[#This Row],[Community club (type name of club(s). All clubs will count as ''1'']],"*")</f>
        <v>0</v>
      </c>
      <c r="P79" s="17">
        <f>IF(OR(Table19[[#This Row],[Total Challenges]]&gt;0,Table19[[#This Row],[Total Ex-C Clubs]]&gt;0,Table19[[#This Row],[Total Intra-School Sports]]&gt;0,Table19[[#This Row],[Total Inter-School Sports]]&gt;0,Table19[[#This Row],[Community Clubs]]&gt;0),1,0)</f>
        <v>0</v>
      </c>
      <c r="Q79" s="22"/>
      <c r="R79" s="22"/>
      <c r="S79" s="22"/>
      <c r="T79" s="22"/>
      <c r="U79" s="22"/>
      <c r="V79" s="22"/>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21"/>
    </row>
    <row r="80" spans="1:218" x14ac:dyDescent="0.25">
      <c r="A80" s="22"/>
      <c r="B80" s="22"/>
      <c r="C80" s="22"/>
      <c r="D80" s="22"/>
      <c r="E80" s="22"/>
      <c r="F80" s="22"/>
      <c r="G80" s="22"/>
      <c r="H80" s="22"/>
      <c r="I80" s="22"/>
      <c r="J80" s="22"/>
      <c r="K80" s="17">
        <f>SUM(Table19[[#This Row],[Challenge 1]:[Challenge 50]])</f>
        <v>0</v>
      </c>
      <c r="L80" s="88">
        <f>SUM(Table19[[#This Row],[Club 1]:[Club 50]])</f>
        <v>0</v>
      </c>
      <c r="M80" s="88">
        <f>SUM(Table19[[#This Row],[Intra-school sports 1]:[Intra-school sports 50]])</f>
        <v>0</v>
      </c>
      <c r="N80" s="88">
        <f>SUM(Table19[[#This Row],[Inter School sports 1]:[Inter School sports 50]])</f>
        <v>0</v>
      </c>
      <c r="O80" s="17">
        <f>COUNTIF(Table19[[#This Row],[Community club (type name of club(s). All clubs will count as ''1'']],"*")</f>
        <v>0</v>
      </c>
      <c r="P80" s="17">
        <f>IF(OR(Table19[[#This Row],[Total Challenges]]&gt;0,Table19[[#This Row],[Total Ex-C Clubs]]&gt;0,Table19[[#This Row],[Total Intra-School Sports]]&gt;0,Table19[[#This Row],[Total Inter-School Sports]]&gt;0,Table19[[#This Row],[Community Clubs]]&gt;0),1,0)</f>
        <v>0</v>
      </c>
      <c r="Q80" s="22"/>
      <c r="R80" s="22"/>
      <c r="S80" s="22"/>
      <c r="T80" s="22"/>
      <c r="U80" s="22"/>
      <c r="V80" s="22"/>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21"/>
    </row>
    <row r="81" spans="1:218" x14ac:dyDescent="0.25">
      <c r="A81" s="22"/>
      <c r="B81" s="22"/>
      <c r="C81" s="22"/>
      <c r="D81" s="22"/>
      <c r="E81" s="22"/>
      <c r="F81" s="22"/>
      <c r="G81" s="22"/>
      <c r="H81" s="22"/>
      <c r="I81" s="22"/>
      <c r="J81" s="22"/>
      <c r="K81" s="17">
        <f>SUM(Table19[[#This Row],[Challenge 1]:[Challenge 50]])</f>
        <v>0</v>
      </c>
      <c r="L81" s="88">
        <f>SUM(Table19[[#This Row],[Club 1]:[Club 50]])</f>
        <v>0</v>
      </c>
      <c r="M81" s="88">
        <f>SUM(Table19[[#This Row],[Intra-school sports 1]:[Intra-school sports 50]])</f>
        <v>0</v>
      </c>
      <c r="N81" s="88">
        <f>SUM(Table19[[#This Row],[Inter School sports 1]:[Inter School sports 50]])</f>
        <v>0</v>
      </c>
      <c r="O81" s="17">
        <f>COUNTIF(Table19[[#This Row],[Community club (type name of club(s). All clubs will count as ''1'']],"*")</f>
        <v>0</v>
      </c>
      <c r="P81" s="17">
        <f>IF(OR(Table19[[#This Row],[Total Challenges]]&gt;0,Table19[[#This Row],[Total Ex-C Clubs]]&gt;0,Table19[[#This Row],[Total Intra-School Sports]]&gt;0,Table19[[#This Row],[Total Inter-School Sports]]&gt;0,Table19[[#This Row],[Community Clubs]]&gt;0),1,0)</f>
        <v>0</v>
      </c>
      <c r="Q81" s="22"/>
      <c r="R81" s="22"/>
      <c r="S81" s="22"/>
      <c r="T81" s="22"/>
      <c r="U81" s="22"/>
      <c r="V81" s="22"/>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21"/>
    </row>
    <row r="82" spans="1:218" x14ac:dyDescent="0.25">
      <c r="A82" s="22"/>
      <c r="B82" s="22"/>
      <c r="C82" s="22"/>
      <c r="D82" s="22"/>
      <c r="E82" s="22"/>
      <c r="F82" s="22"/>
      <c r="G82" s="22"/>
      <c r="H82" s="22"/>
      <c r="I82" s="22"/>
      <c r="J82" s="22"/>
      <c r="K82" s="17">
        <f>SUM(Table19[[#This Row],[Challenge 1]:[Challenge 50]])</f>
        <v>0</v>
      </c>
      <c r="L82" s="88">
        <f>SUM(Table19[[#This Row],[Club 1]:[Club 50]])</f>
        <v>0</v>
      </c>
      <c r="M82" s="88">
        <f>SUM(Table19[[#This Row],[Intra-school sports 1]:[Intra-school sports 50]])</f>
        <v>0</v>
      </c>
      <c r="N82" s="88">
        <f>SUM(Table19[[#This Row],[Inter School sports 1]:[Inter School sports 50]])</f>
        <v>0</v>
      </c>
      <c r="O82" s="17">
        <f>COUNTIF(Table19[[#This Row],[Community club (type name of club(s). All clubs will count as ''1'']],"*")</f>
        <v>0</v>
      </c>
      <c r="P82" s="17">
        <f>IF(OR(Table19[[#This Row],[Total Challenges]]&gt;0,Table19[[#This Row],[Total Ex-C Clubs]]&gt;0,Table19[[#This Row],[Total Intra-School Sports]]&gt;0,Table19[[#This Row],[Total Inter-School Sports]]&gt;0,Table19[[#This Row],[Community Clubs]]&gt;0),1,0)</f>
        <v>0</v>
      </c>
      <c r="Q82" s="22"/>
      <c r="R82" s="22"/>
      <c r="S82" s="22"/>
      <c r="T82" s="22"/>
      <c r="U82" s="22"/>
      <c r="V82" s="22"/>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21"/>
    </row>
    <row r="83" spans="1:218" x14ac:dyDescent="0.25">
      <c r="A83" s="22"/>
      <c r="B83" s="22"/>
      <c r="C83" s="22"/>
      <c r="D83" s="22"/>
      <c r="E83" s="22"/>
      <c r="F83" s="22"/>
      <c r="G83" s="22"/>
      <c r="H83" s="22"/>
      <c r="I83" s="22"/>
      <c r="J83" s="22"/>
      <c r="K83" s="17">
        <f>SUM(Table19[[#This Row],[Challenge 1]:[Challenge 50]])</f>
        <v>0</v>
      </c>
      <c r="L83" s="88">
        <f>SUM(Table19[[#This Row],[Club 1]:[Club 50]])</f>
        <v>0</v>
      </c>
      <c r="M83" s="88">
        <f>SUM(Table19[[#This Row],[Intra-school sports 1]:[Intra-school sports 50]])</f>
        <v>0</v>
      </c>
      <c r="N83" s="88">
        <f>SUM(Table19[[#This Row],[Inter School sports 1]:[Inter School sports 50]])</f>
        <v>0</v>
      </c>
      <c r="O83" s="17">
        <f>COUNTIF(Table19[[#This Row],[Community club (type name of club(s). All clubs will count as ''1'']],"*")</f>
        <v>0</v>
      </c>
      <c r="P83" s="17">
        <f>IF(OR(Table19[[#This Row],[Total Challenges]]&gt;0,Table19[[#This Row],[Total Ex-C Clubs]]&gt;0,Table19[[#This Row],[Total Intra-School Sports]]&gt;0,Table19[[#This Row],[Total Inter-School Sports]]&gt;0,Table19[[#This Row],[Community Clubs]]&gt;0),1,0)</f>
        <v>0</v>
      </c>
      <c r="Q83" s="22"/>
      <c r="R83" s="22"/>
      <c r="S83" s="22"/>
      <c r="T83" s="22"/>
      <c r="U83" s="22"/>
      <c r="V83" s="22"/>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21"/>
    </row>
    <row r="84" spans="1:218" x14ac:dyDescent="0.25">
      <c r="A84" s="22"/>
      <c r="B84" s="22"/>
      <c r="C84" s="22"/>
      <c r="D84" s="22"/>
      <c r="E84" s="22"/>
      <c r="F84" s="22"/>
      <c r="G84" s="22"/>
      <c r="H84" s="22"/>
      <c r="I84" s="22"/>
      <c r="J84" s="22"/>
      <c r="K84" s="17">
        <f>SUM(Table19[[#This Row],[Challenge 1]:[Challenge 50]])</f>
        <v>0</v>
      </c>
      <c r="L84" s="88">
        <f>SUM(Table19[[#This Row],[Club 1]:[Club 50]])</f>
        <v>0</v>
      </c>
      <c r="M84" s="88">
        <f>SUM(Table19[[#This Row],[Intra-school sports 1]:[Intra-school sports 50]])</f>
        <v>0</v>
      </c>
      <c r="N84" s="88">
        <f>SUM(Table19[[#This Row],[Inter School sports 1]:[Inter School sports 50]])</f>
        <v>0</v>
      </c>
      <c r="O84" s="17">
        <f>COUNTIF(Table19[[#This Row],[Community club (type name of club(s). All clubs will count as ''1'']],"*")</f>
        <v>0</v>
      </c>
      <c r="P84" s="17">
        <f>IF(OR(Table19[[#This Row],[Total Challenges]]&gt;0,Table19[[#This Row],[Total Ex-C Clubs]]&gt;0,Table19[[#This Row],[Total Intra-School Sports]]&gt;0,Table19[[#This Row],[Total Inter-School Sports]]&gt;0,Table19[[#This Row],[Community Clubs]]&gt;0),1,0)</f>
        <v>0</v>
      </c>
      <c r="Q84" s="22"/>
      <c r="R84" s="22"/>
      <c r="S84" s="22"/>
      <c r="T84" s="22"/>
      <c r="U84" s="22"/>
      <c r="V84" s="22"/>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21"/>
    </row>
    <row r="85" spans="1:218" x14ac:dyDescent="0.25">
      <c r="A85" s="22"/>
      <c r="B85" s="22"/>
      <c r="C85" s="22"/>
      <c r="D85" s="22"/>
      <c r="E85" s="22"/>
      <c r="F85" s="22"/>
      <c r="G85" s="22"/>
      <c r="H85" s="22"/>
      <c r="I85" s="22"/>
      <c r="J85" s="22"/>
      <c r="K85" s="17">
        <f>SUM(Table19[[#This Row],[Challenge 1]:[Challenge 50]])</f>
        <v>0</v>
      </c>
      <c r="L85" s="88">
        <f>SUM(Table19[[#This Row],[Club 1]:[Club 50]])</f>
        <v>0</v>
      </c>
      <c r="M85" s="88">
        <f>SUM(Table19[[#This Row],[Intra-school sports 1]:[Intra-school sports 50]])</f>
        <v>0</v>
      </c>
      <c r="N85" s="88">
        <f>SUM(Table19[[#This Row],[Inter School sports 1]:[Inter School sports 50]])</f>
        <v>0</v>
      </c>
      <c r="O85" s="17">
        <f>COUNTIF(Table19[[#This Row],[Community club (type name of club(s). All clubs will count as ''1'']],"*")</f>
        <v>0</v>
      </c>
      <c r="P85" s="17">
        <f>IF(OR(Table19[[#This Row],[Total Challenges]]&gt;0,Table19[[#This Row],[Total Ex-C Clubs]]&gt;0,Table19[[#This Row],[Total Intra-School Sports]]&gt;0,Table19[[#This Row],[Total Inter-School Sports]]&gt;0,Table19[[#This Row],[Community Clubs]]&gt;0),1,0)</f>
        <v>0</v>
      </c>
      <c r="Q85" s="22"/>
      <c r="R85" s="22"/>
      <c r="S85" s="22"/>
      <c r="T85" s="22"/>
      <c r="U85" s="22"/>
      <c r="V85" s="22"/>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21"/>
    </row>
    <row r="86" spans="1:218" x14ac:dyDescent="0.25">
      <c r="A86" s="22"/>
      <c r="B86" s="22"/>
      <c r="C86" s="22"/>
      <c r="D86" s="22"/>
      <c r="E86" s="22"/>
      <c r="F86" s="22"/>
      <c r="G86" s="22"/>
      <c r="H86" s="22"/>
      <c r="I86" s="22"/>
      <c r="J86" s="22"/>
      <c r="K86" s="17">
        <f>SUM(Table19[[#This Row],[Challenge 1]:[Challenge 50]])</f>
        <v>0</v>
      </c>
      <c r="L86" s="88">
        <f>SUM(Table19[[#This Row],[Club 1]:[Club 50]])</f>
        <v>0</v>
      </c>
      <c r="M86" s="88">
        <f>SUM(Table19[[#This Row],[Intra-school sports 1]:[Intra-school sports 50]])</f>
        <v>0</v>
      </c>
      <c r="N86" s="88">
        <f>SUM(Table19[[#This Row],[Inter School sports 1]:[Inter School sports 50]])</f>
        <v>0</v>
      </c>
      <c r="O86" s="17">
        <f>COUNTIF(Table19[[#This Row],[Community club (type name of club(s). All clubs will count as ''1'']],"*")</f>
        <v>0</v>
      </c>
      <c r="P86" s="17">
        <f>IF(OR(Table19[[#This Row],[Total Challenges]]&gt;0,Table19[[#This Row],[Total Ex-C Clubs]]&gt;0,Table19[[#This Row],[Total Intra-School Sports]]&gt;0,Table19[[#This Row],[Total Inter-School Sports]]&gt;0,Table19[[#This Row],[Community Clubs]]&gt;0),1,0)</f>
        <v>0</v>
      </c>
      <c r="Q86" s="22"/>
      <c r="R86" s="22"/>
      <c r="S86" s="22"/>
      <c r="T86" s="22"/>
      <c r="U86" s="22"/>
      <c r="V86" s="22"/>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21"/>
    </row>
    <row r="87" spans="1:218" x14ac:dyDescent="0.25">
      <c r="A87" s="22"/>
      <c r="B87" s="22"/>
      <c r="C87" s="22"/>
      <c r="D87" s="22"/>
      <c r="E87" s="22"/>
      <c r="F87" s="22"/>
      <c r="G87" s="22"/>
      <c r="H87" s="22"/>
      <c r="I87" s="22"/>
      <c r="J87" s="22"/>
      <c r="K87" s="17">
        <f>SUM(Table19[[#This Row],[Challenge 1]:[Challenge 50]])</f>
        <v>0</v>
      </c>
      <c r="L87" s="88">
        <f>SUM(Table19[[#This Row],[Club 1]:[Club 50]])</f>
        <v>0</v>
      </c>
      <c r="M87" s="88">
        <f>SUM(Table19[[#This Row],[Intra-school sports 1]:[Intra-school sports 50]])</f>
        <v>0</v>
      </c>
      <c r="N87" s="88">
        <f>SUM(Table19[[#This Row],[Inter School sports 1]:[Inter School sports 50]])</f>
        <v>0</v>
      </c>
      <c r="O87" s="17">
        <f>COUNTIF(Table19[[#This Row],[Community club (type name of club(s). All clubs will count as ''1'']],"*")</f>
        <v>0</v>
      </c>
      <c r="P87" s="17">
        <f>IF(OR(Table19[[#This Row],[Total Challenges]]&gt;0,Table19[[#This Row],[Total Ex-C Clubs]]&gt;0,Table19[[#This Row],[Total Intra-School Sports]]&gt;0,Table19[[#This Row],[Total Inter-School Sports]]&gt;0,Table19[[#This Row],[Community Clubs]]&gt;0),1,0)</f>
        <v>0</v>
      </c>
      <c r="Q87" s="22"/>
      <c r="R87" s="22"/>
      <c r="S87" s="22"/>
      <c r="T87" s="22"/>
      <c r="U87" s="22"/>
      <c r="V87" s="22"/>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21"/>
    </row>
    <row r="88" spans="1:218" x14ac:dyDescent="0.25">
      <c r="A88" s="22"/>
      <c r="B88" s="22"/>
      <c r="C88" s="22"/>
      <c r="D88" s="22"/>
      <c r="E88" s="22"/>
      <c r="F88" s="22"/>
      <c r="G88" s="22"/>
      <c r="H88" s="22"/>
      <c r="I88" s="22"/>
      <c r="J88" s="22"/>
      <c r="K88" s="17">
        <f>SUM(Table19[[#This Row],[Challenge 1]:[Challenge 50]])</f>
        <v>0</v>
      </c>
      <c r="L88" s="88">
        <f>SUM(Table19[[#This Row],[Club 1]:[Club 50]])</f>
        <v>0</v>
      </c>
      <c r="M88" s="88">
        <f>SUM(Table19[[#This Row],[Intra-school sports 1]:[Intra-school sports 50]])</f>
        <v>0</v>
      </c>
      <c r="N88" s="88">
        <f>SUM(Table19[[#This Row],[Inter School sports 1]:[Inter School sports 50]])</f>
        <v>0</v>
      </c>
      <c r="O88" s="17">
        <f>COUNTIF(Table19[[#This Row],[Community club (type name of club(s). All clubs will count as ''1'']],"*")</f>
        <v>0</v>
      </c>
      <c r="P88" s="17">
        <f>IF(OR(Table19[[#This Row],[Total Challenges]]&gt;0,Table19[[#This Row],[Total Ex-C Clubs]]&gt;0,Table19[[#This Row],[Total Intra-School Sports]]&gt;0,Table19[[#This Row],[Total Inter-School Sports]]&gt;0,Table19[[#This Row],[Community Clubs]]&gt;0),1,0)</f>
        <v>0</v>
      </c>
      <c r="Q88" s="22"/>
      <c r="R88" s="22"/>
      <c r="S88" s="22"/>
      <c r="T88" s="22"/>
      <c r="U88" s="22"/>
      <c r="V88" s="22"/>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21"/>
    </row>
    <row r="89" spans="1:218" x14ac:dyDescent="0.25">
      <c r="A89" s="22"/>
      <c r="B89" s="22"/>
      <c r="C89" s="22"/>
      <c r="D89" s="22"/>
      <c r="E89" s="22"/>
      <c r="F89" s="22"/>
      <c r="G89" s="22"/>
      <c r="H89" s="22"/>
      <c r="I89" s="22"/>
      <c r="J89" s="22"/>
      <c r="K89" s="17">
        <f>SUM(Table19[[#This Row],[Challenge 1]:[Challenge 50]])</f>
        <v>0</v>
      </c>
      <c r="L89" s="88">
        <f>SUM(Table19[[#This Row],[Club 1]:[Club 50]])</f>
        <v>0</v>
      </c>
      <c r="M89" s="88">
        <f>SUM(Table19[[#This Row],[Intra-school sports 1]:[Intra-school sports 50]])</f>
        <v>0</v>
      </c>
      <c r="N89" s="88">
        <f>SUM(Table19[[#This Row],[Inter School sports 1]:[Inter School sports 50]])</f>
        <v>0</v>
      </c>
      <c r="O89" s="17">
        <f>COUNTIF(Table19[[#This Row],[Community club (type name of club(s). All clubs will count as ''1'']],"*")</f>
        <v>0</v>
      </c>
      <c r="P89" s="17">
        <f>IF(OR(Table19[[#This Row],[Total Challenges]]&gt;0,Table19[[#This Row],[Total Ex-C Clubs]]&gt;0,Table19[[#This Row],[Total Intra-School Sports]]&gt;0,Table19[[#This Row],[Total Inter-School Sports]]&gt;0,Table19[[#This Row],[Community Clubs]]&gt;0),1,0)</f>
        <v>0</v>
      </c>
      <c r="Q89" s="22"/>
      <c r="R89" s="22"/>
      <c r="S89" s="22"/>
      <c r="T89" s="22"/>
      <c r="U89" s="22"/>
      <c r="V89" s="22"/>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21"/>
    </row>
    <row r="90" spans="1:218" x14ac:dyDescent="0.25">
      <c r="A90" s="22"/>
      <c r="B90" s="22"/>
      <c r="C90" s="22"/>
      <c r="D90" s="22"/>
      <c r="E90" s="22"/>
      <c r="F90" s="22"/>
      <c r="G90" s="22"/>
      <c r="H90" s="22"/>
      <c r="I90" s="22"/>
      <c r="J90" s="22"/>
      <c r="K90" s="17">
        <f>SUM(Table19[[#This Row],[Challenge 1]:[Challenge 50]])</f>
        <v>0</v>
      </c>
      <c r="L90" s="88">
        <f>SUM(Table19[[#This Row],[Club 1]:[Club 50]])</f>
        <v>0</v>
      </c>
      <c r="M90" s="88">
        <f>SUM(Table19[[#This Row],[Intra-school sports 1]:[Intra-school sports 50]])</f>
        <v>0</v>
      </c>
      <c r="N90" s="88">
        <f>SUM(Table19[[#This Row],[Inter School sports 1]:[Inter School sports 50]])</f>
        <v>0</v>
      </c>
      <c r="O90" s="17">
        <f>COUNTIF(Table19[[#This Row],[Community club (type name of club(s). All clubs will count as ''1'']],"*")</f>
        <v>0</v>
      </c>
      <c r="P90" s="17">
        <f>IF(OR(Table19[[#This Row],[Total Challenges]]&gt;0,Table19[[#This Row],[Total Ex-C Clubs]]&gt;0,Table19[[#This Row],[Total Intra-School Sports]]&gt;0,Table19[[#This Row],[Total Inter-School Sports]]&gt;0,Table19[[#This Row],[Community Clubs]]&gt;0),1,0)</f>
        <v>0</v>
      </c>
      <c r="Q90" s="22"/>
      <c r="R90" s="22"/>
      <c r="S90" s="22"/>
      <c r="T90" s="22"/>
      <c r="U90" s="22"/>
      <c r="V90" s="22"/>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21"/>
    </row>
    <row r="91" spans="1:218" x14ac:dyDescent="0.25">
      <c r="A91" s="22"/>
      <c r="B91" s="22"/>
      <c r="C91" s="22"/>
      <c r="D91" s="22"/>
      <c r="E91" s="22"/>
      <c r="F91" s="22"/>
      <c r="G91" s="22"/>
      <c r="H91" s="22"/>
      <c r="I91" s="22"/>
      <c r="J91" s="22"/>
      <c r="K91" s="17">
        <f>SUM(Table19[[#This Row],[Challenge 1]:[Challenge 50]])</f>
        <v>0</v>
      </c>
      <c r="L91" s="88">
        <f>SUM(Table19[[#This Row],[Club 1]:[Club 50]])</f>
        <v>0</v>
      </c>
      <c r="M91" s="88">
        <f>SUM(Table19[[#This Row],[Intra-school sports 1]:[Intra-school sports 50]])</f>
        <v>0</v>
      </c>
      <c r="N91" s="88">
        <f>SUM(Table19[[#This Row],[Inter School sports 1]:[Inter School sports 50]])</f>
        <v>0</v>
      </c>
      <c r="O91" s="17">
        <f>COUNTIF(Table19[[#This Row],[Community club (type name of club(s). All clubs will count as ''1'']],"*")</f>
        <v>0</v>
      </c>
      <c r="P91" s="17">
        <f>IF(OR(Table19[[#This Row],[Total Challenges]]&gt;0,Table19[[#This Row],[Total Ex-C Clubs]]&gt;0,Table19[[#This Row],[Total Intra-School Sports]]&gt;0,Table19[[#This Row],[Total Inter-School Sports]]&gt;0,Table19[[#This Row],[Community Clubs]]&gt;0),1,0)</f>
        <v>0</v>
      </c>
      <c r="Q91" s="22"/>
      <c r="R91" s="22"/>
      <c r="S91" s="22"/>
      <c r="T91" s="22"/>
      <c r="U91" s="22"/>
      <c r="V91" s="22"/>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21"/>
    </row>
    <row r="92" spans="1:218" x14ac:dyDescent="0.25">
      <c r="A92" s="17"/>
      <c r="B92" s="17"/>
      <c r="C92" s="17"/>
      <c r="D92" s="17"/>
      <c r="E92" s="17"/>
      <c r="F92" s="17"/>
      <c r="G92" s="17"/>
      <c r="H92" s="17"/>
      <c r="I92" s="17"/>
      <c r="J92" s="17"/>
      <c r="K92" s="17">
        <f>SUM(Table19[[#This Row],[Challenge 1]:[Challenge 50]])</f>
        <v>0</v>
      </c>
      <c r="L92" s="88">
        <f>SUM(Table19[[#This Row],[Club 1]:[Club 50]])</f>
        <v>0</v>
      </c>
      <c r="M92" s="88">
        <f>SUM(Table19[[#This Row],[Intra-school sports 1]:[Intra-school sports 50]])</f>
        <v>0</v>
      </c>
      <c r="N92" s="88">
        <f>SUM(Table19[[#This Row],[Inter School sports 1]:[Inter School sports 50]])</f>
        <v>0</v>
      </c>
      <c r="O92" s="17">
        <f>COUNTIF(Table19[[#This Row],[Community club (type name of club(s). All clubs will count as ''1'']],"*")</f>
        <v>0</v>
      </c>
      <c r="P92" s="17">
        <f>IF(OR(Table19[[#This Row],[Total Challenges]]&gt;0,Table19[[#This Row],[Total Ex-C Clubs]]&gt;0,Table19[[#This Row],[Total Intra-School Sports]]&gt;0,Table19[[#This Row],[Total Inter-School Sports]]&gt;0,Table19[[#This Row],[Community Clubs]]&gt;0),1,0)</f>
        <v>0</v>
      </c>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21"/>
    </row>
    <row r="93" spans="1:218" x14ac:dyDescent="0.25">
      <c r="A93" s="17"/>
      <c r="B93" s="17"/>
      <c r="C93" s="17"/>
      <c r="D93" s="17"/>
      <c r="E93" s="17"/>
      <c r="F93" s="17"/>
      <c r="G93" s="17"/>
      <c r="H93" s="17"/>
      <c r="I93" s="17"/>
      <c r="J93" s="17"/>
      <c r="K93" s="17">
        <f>SUM(Table19[[#This Row],[Challenge 1]:[Challenge 50]])</f>
        <v>0</v>
      </c>
      <c r="L93" s="88">
        <f>SUM(Table19[[#This Row],[Club 1]:[Club 50]])</f>
        <v>0</v>
      </c>
      <c r="M93" s="88">
        <f>SUM(Table19[[#This Row],[Intra-school sports 1]:[Intra-school sports 50]])</f>
        <v>0</v>
      </c>
      <c r="N93" s="88">
        <f>SUM(Table19[[#This Row],[Inter School sports 1]:[Inter School sports 50]])</f>
        <v>0</v>
      </c>
      <c r="O93" s="17">
        <f>COUNTIF(Table19[[#This Row],[Community club (type name of club(s). All clubs will count as ''1'']],"*")</f>
        <v>0</v>
      </c>
      <c r="P93" s="17">
        <f>IF(OR(Table19[[#This Row],[Total Challenges]]&gt;0,Table19[[#This Row],[Total Ex-C Clubs]]&gt;0,Table19[[#This Row],[Total Intra-School Sports]]&gt;0,Table19[[#This Row],[Total Inter-School Sports]]&gt;0,Table19[[#This Row],[Community Clubs]]&gt;0),1,0)</f>
        <v>0</v>
      </c>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21"/>
    </row>
    <row r="94" spans="1:218" x14ac:dyDescent="0.25">
      <c r="A94" s="17"/>
      <c r="B94" s="17"/>
      <c r="C94" s="17"/>
      <c r="D94" s="17"/>
      <c r="E94" s="17"/>
      <c r="F94" s="17"/>
      <c r="G94" s="17"/>
      <c r="H94" s="17"/>
      <c r="I94" s="17"/>
      <c r="J94" s="17"/>
      <c r="K94" s="17">
        <f>SUM(Table19[[#This Row],[Challenge 1]:[Challenge 50]])</f>
        <v>0</v>
      </c>
      <c r="L94" s="88">
        <f>SUM(Table19[[#This Row],[Club 1]:[Club 50]])</f>
        <v>0</v>
      </c>
      <c r="M94" s="88">
        <f>SUM(Table19[[#This Row],[Intra-school sports 1]:[Intra-school sports 50]])</f>
        <v>0</v>
      </c>
      <c r="N94" s="88">
        <f>SUM(Table19[[#This Row],[Inter School sports 1]:[Inter School sports 50]])</f>
        <v>0</v>
      </c>
      <c r="O94" s="17">
        <f>COUNTIF(Table19[[#This Row],[Community club (type name of club(s). All clubs will count as ''1'']],"*")</f>
        <v>0</v>
      </c>
      <c r="P94" s="17">
        <f>IF(OR(Table19[[#This Row],[Total Challenges]]&gt;0,Table19[[#This Row],[Total Ex-C Clubs]]&gt;0,Table19[[#This Row],[Total Intra-School Sports]]&gt;0,Table19[[#This Row],[Total Inter-School Sports]]&gt;0,Table19[[#This Row],[Community Clubs]]&gt;0),1,0)</f>
        <v>0</v>
      </c>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21"/>
    </row>
    <row r="95" spans="1:218" x14ac:dyDescent="0.25">
      <c r="A95" s="17"/>
      <c r="B95" s="17"/>
      <c r="C95" s="17"/>
      <c r="D95" s="17"/>
      <c r="E95" s="17"/>
      <c r="F95" s="17"/>
      <c r="G95" s="17"/>
      <c r="H95" s="17"/>
      <c r="I95" s="17"/>
      <c r="J95" s="17"/>
      <c r="K95" s="17">
        <f>SUM(Table19[[#This Row],[Challenge 1]:[Challenge 50]])</f>
        <v>0</v>
      </c>
      <c r="L95" s="88">
        <f>SUM(Table19[[#This Row],[Club 1]:[Club 50]])</f>
        <v>0</v>
      </c>
      <c r="M95" s="88">
        <f>SUM(Table19[[#This Row],[Intra-school sports 1]:[Intra-school sports 50]])</f>
        <v>0</v>
      </c>
      <c r="N95" s="88">
        <f>SUM(Table19[[#This Row],[Inter School sports 1]:[Inter School sports 50]])</f>
        <v>0</v>
      </c>
      <c r="O95" s="17">
        <f>COUNTIF(Table19[[#This Row],[Community club (type name of club(s). All clubs will count as ''1'']],"*")</f>
        <v>0</v>
      </c>
      <c r="P95" s="17">
        <f>IF(OR(Table19[[#This Row],[Total Challenges]]&gt;0,Table19[[#This Row],[Total Ex-C Clubs]]&gt;0,Table19[[#This Row],[Total Intra-School Sports]]&gt;0,Table19[[#This Row],[Total Inter-School Sports]]&gt;0,Table19[[#This Row],[Community Clubs]]&gt;0),1,0)</f>
        <v>0</v>
      </c>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21"/>
    </row>
    <row r="96" spans="1:218" x14ac:dyDescent="0.25">
      <c r="A96" s="17"/>
      <c r="B96" s="17"/>
      <c r="C96" s="17"/>
      <c r="D96" s="17"/>
      <c r="E96" s="17"/>
      <c r="F96" s="17"/>
      <c r="G96" s="17"/>
      <c r="H96" s="17"/>
      <c r="I96" s="17"/>
      <c r="J96" s="17"/>
      <c r="K96" s="17">
        <f>SUM(Table19[[#This Row],[Challenge 1]:[Challenge 50]])</f>
        <v>0</v>
      </c>
      <c r="L96" s="88">
        <f>SUM(Table19[[#This Row],[Club 1]:[Club 50]])</f>
        <v>0</v>
      </c>
      <c r="M96" s="88">
        <f>SUM(Table19[[#This Row],[Intra-school sports 1]:[Intra-school sports 50]])</f>
        <v>0</v>
      </c>
      <c r="N96" s="88">
        <f>SUM(Table19[[#This Row],[Inter School sports 1]:[Inter School sports 50]])</f>
        <v>0</v>
      </c>
      <c r="O96" s="17">
        <f>COUNTIF(Table19[[#This Row],[Community club (type name of club(s). All clubs will count as ''1'']],"*")</f>
        <v>0</v>
      </c>
      <c r="P96" s="17">
        <f>IF(OR(Table19[[#This Row],[Total Challenges]]&gt;0,Table19[[#This Row],[Total Ex-C Clubs]]&gt;0,Table19[[#This Row],[Total Intra-School Sports]]&gt;0,Table19[[#This Row],[Total Inter-School Sports]]&gt;0,Table19[[#This Row],[Community Clubs]]&gt;0),1,0)</f>
        <v>0</v>
      </c>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21"/>
    </row>
    <row r="97" spans="1:218" x14ac:dyDescent="0.25">
      <c r="A97" s="17"/>
      <c r="B97" s="17"/>
      <c r="C97" s="17"/>
      <c r="D97" s="17"/>
      <c r="E97" s="17"/>
      <c r="F97" s="17"/>
      <c r="G97" s="17"/>
      <c r="H97" s="17"/>
      <c r="I97" s="17"/>
      <c r="J97" s="17"/>
      <c r="K97" s="17">
        <f>SUM(Table19[[#This Row],[Challenge 1]:[Challenge 50]])</f>
        <v>0</v>
      </c>
      <c r="L97" s="88">
        <f>SUM(Table19[[#This Row],[Club 1]:[Club 50]])</f>
        <v>0</v>
      </c>
      <c r="M97" s="88">
        <f>SUM(Table19[[#This Row],[Intra-school sports 1]:[Intra-school sports 50]])</f>
        <v>0</v>
      </c>
      <c r="N97" s="88">
        <f>SUM(Table19[[#This Row],[Inter School sports 1]:[Inter School sports 50]])</f>
        <v>0</v>
      </c>
      <c r="O97" s="17">
        <f>COUNTIF(Table19[[#This Row],[Community club (type name of club(s). All clubs will count as ''1'']],"*")</f>
        <v>0</v>
      </c>
      <c r="P97" s="17">
        <f>IF(OR(Table19[[#This Row],[Total Challenges]]&gt;0,Table19[[#This Row],[Total Ex-C Clubs]]&gt;0,Table19[[#This Row],[Total Intra-School Sports]]&gt;0,Table19[[#This Row],[Total Inter-School Sports]]&gt;0,Table19[[#This Row],[Community Clubs]]&gt;0),1,0)</f>
        <v>0</v>
      </c>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21"/>
    </row>
    <row r="98" spans="1:218" x14ac:dyDescent="0.25">
      <c r="A98" s="17"/>
      <c r="B98" s="17"/>
      <c r="C98" s="17"/>
      <c r="D98" s="17"/>
      <c r="E98" s="17"/>
      <c r="F98" s="17"/>
      <c r="G98" s="17"/>
      <c r="H98" s="17"/>
      <c r="I98" s="17"/>
      <c r="J98" s="17"/>
      <c r="K98" s="17">
        <f>SUM(Table19[[#This Row],[Challenge 1]:[Challenge 50]])</f>
        <v>0</v>
      </c>
      <c r="L98" s="88">
        <f>SUM(Table19[[#This Row],[Club 1]:[Club 50]])</f>
        <v>0</v>
      </c>
      <c r="M98" s="88">
        <f>SUM(Table19[[#This Row],[Intra-school sports 1]:[Intra-school sports 50]])</f>
        <v>0</v>
      </c>
      <c r="N98" s="88">
        <f>SUM(Table19[[#This Row],[Inter School sports 1]:[Inter School sports 50]])</f>
        <v>0</v>
      </c>
      <c r="O98" s="17">
        <f>COUNTIF(Table19[[#This Row],[Community club (type name of club(s). All clubs will count as ''1'']],"*")</f>
        <v>0</v>
      </c>
      <c r="P98" s="17">
        <f>IF(OR(Table19[[#This Row],[Total Challenges]]&gt;0,Table19[[#This Row],[Total Ex-C Clubs]]&gt;0,Table19[[#This Row],[Total Intra-School Sports]]&gt;0,Table19[[#This Row],[Total Inter-School Sports]]&gt;0,Table19[[#This Row],[Community Clubs]]&gt;0),1,0)</f>
        <v>0</v>
      </c>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21"/>
    </row>
    <row r="99" spans="1:218" x14ac:dyDescent="0.25">
      <c r="A99" s="17"/>
      <c r="B99" s="17"/>
      <c r="C99" s="17"/>
      <c r="D99" s="17"/>
      <c r="E99" s="17"/>
      <c r="F99" s="17"/>
      <c r="G99" s="17"/>
      <c r="H99" s="17"/>
      <c r="I99" s="17"/>
      <c r="J99" s="17"/>
      <c r="K99" s="17">
        <f>SUM(Table19[[#This Row],[Challenge 1]:[Challenge 50]])</f>
        <v>0</v>
      </c>
      <c r="L99" s="88">
        <f>SUM(Table19[[#This Row],[Club 1]:[Club 50]])</f>
        <v>0</v>
      </c>
      <c r="M99" s="88">
        <f>SUM(Table19[[#This Row],[Intra-school sports 1]:[Intra-school sports 50]])</f>
        <v>0</v>
      </c>
      <c r="N99" s="88">
        <f>SUM(Table19[[#This Row],[Inter School sports 1]:[Inter School sports 50]])</f>
        <v>0</v>
      </c>
      <c r="O99" s="17">
        <f>COUNTIF(Table19[[#This Row],[Community club (type name of club(s). All clubs will count as ''1'']],"*")</f>
        <v>0</v>
      </c>
      <c r="P99" s="17">
        <f>IF(OR(Table19[[#This Row],[Total Challenges]]&gt;0,Table19[[#This Row],[Total Ex-C Clubs]]&gt;0,Table19[[#This Row],[Total Intra-School Sports]]&gt;0,Table19[[#This Row],[Total Inter-School Sports]]&gt;0,Table19[[#This Row],[Community Clubs]]&gt;0),1,0)</f>
        <v>0</v>
      </c>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21"/>
    </row>
    <row r="100" spans="1:218" x14ac:dyDescent="0.25">
      <c r="A100" s="17"/>
      <c r="B100" s="17"/>
      <c r="C100" s="17"/>
      <c r="D100" s="17"/>
      <c r="E100" s="17"/>
      <c r="F100" s="17"/>
      <c r="G100" s="17"/>
      <c r="H100" s="17"/>
      <c r="I100" s="17"/>
      <c r="J100" s="17"/>
      <c r="K100" s="17">
        <f>SUM(Table19[[#This Row],[Challenge 1]:[Challenge 50]])</f>
        <v>0</v>
      </c>
      <c r="L100" s="88">
        <f>SUM(Table19[[#This Row],[Club 1]:[Club 50]])</f>
        <v>0</v>
      </c>
      <c r="M100" s="88">
        <f>SUM(Table19[[#This Row],[Intra-school sports 1]:[Intra-school sports 50]])</f>
        <v>0</v>
      </c>
      <c r="N100" s="88">
        <f>SUM(Table19[[#This Row],[Inter School sports 1]:[Inter School sports 50]])</f>
        <v>0</v>
      </c>
      <c r="O100" s="17">
        <f>COUNTIF(Table19[[#This Row],[Community club (type name of club(s). All clubs will count as ''1'']],"*")</f>
        <v>0</v>
      </c>
      <c r="P100" s="17">
        <f>IF(OR(Table19[[#This Row],[Total Challenges]]&gt;0,Table19[[#This Row],[Total Ex-C Clubs]]&gt;0,Table19[[#This Row],[Total Intra-School Sports]]&gt;0,Table19[[#This Row],[Total Inter-School Sports]]&gt;0,Table19[[#This Row],[Community Clubs]]&gt;0),1,0)</f>
        <v>0</v>
      </c>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21"/>
    </row>
    <row r="101" spans="1:218" x14ac:dyDescent="0.25">
      <c r="A101" s="17"/>
      <c r="B101" s="17"/>
      <c r="C101" s="17"/>
      <c r="D101" s="17"/>
      <c r="E101" s="17"/>
      <c r="F101" s="17"/>
      <c r="G101" s="17"/>
      <c r="H101" s="17"/>
      <c r="I101" s="17"/>
      <c r="J101" s="17"/>
      <c r="K101" s="17">
        <f>SUM(Table19[[#This Row],[Challenge 1]:[Challenge 50]])</f>
        <v>0</v>
      </c>
      <c r="L101" s="88">
        <f>SUM(Table19[[#This Row],[Club 1]:[Club 50]])</f>
        <v>0</v>
      </c>
      <c r="M101" s="88">
        <f>SUM(Table19[[#This Row],[Intra-school sports 1]:[Intra-school sports 50]])</f>
        <v>0</v>
      </c>
      <c r="N101" s="88">
        <f>SUM(Table19[[#This Row],[Inter School sports 1]:[Inter School sports 50]])</f>
        <v>0</v>
      </c>
      <c r="O101" s="17">
        <f>COUNTIF(Table19[[#This Row],[Community club (type name of club(s). All clubs will count as ''1'']],"*")</f>
        <v>0</v>
      </c>
      <c r="P101" s="17">
        <f>IF(OR(Table19[[#This Row],[Total Challenges]]&gt;0,Table19[[#This Row],[Total Ex-C Clubs]]&gt;0,Table19[[#This Row],[Total Intra-School Sports]]&gt;0,Table19[[#This Row],[Total Inter-School Sports]]&gt;0,Table19[[#This Row],[Community Clubs]]&gt;0),1,0)</f>
        <v>0</v>
      </c>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21"/>
    </row>
    <row r="102" spans="1:218" x14ac:dyDescent="0.25">
      <c r="A102" s="17"/>
      <c r="B102" s="17"/>
      <c r="C102" s="17"/>
      <c r="D102" s="17"/>
      <c r="E102" s="17"/>
      <c r="F102" s="17"/>
      <c r="G102" s="17"/>
      <c r="H102" s="17"/>
      <c r="I102" s="17"/>
      <c r="J102" s="17"/>
      <c r="K102" s="17">
        <f>SUM(Table19[[#This Row],[Challenge 1]:[Challenge 50]])</f>
        <v>0</v>
      </c>
      <c r="L102" s="88">
        <f>SUM(Table19[[#This Row],[Club 1]:[Club 50]])</f>
        <v>0</v>
      </c>
      <c r="M102" s="88">
        <f>SUM(Table19[[#This Row],[Intra-school sports 1]:[Intra-school sports 50]])</f>
        <v>0</v>
      </c>
      <c r="N102" s="88">
        <f>SUM(Table19[[#This Row],[Inter School sports 1]:[Inter School sports 50]])</f>
        <v>0</v>
      </c>
      <c r="O102" s="17">
        <f>COUNTIF(Table19[[#This Row],[Community club (type name of club(s). All clubs will count as ''1'']],"*")</f>
        <v>0</v>
      </c>
      <c r="P102" s="17">
        <f>IF(OR(Table19[[#This Row],[Total Challenges]]&gt;0,Table19[[#This Row],[Total Ex-C Clubs]]&gt;0,Table19[[#This Row],[Total Intra-School Sports]]&gt;0,Table19[[#This Row],[Total Inter-School Sports]]&gt;0,Table19[[#This Row],[Community Clubs]]&gt;0),1,0)</f>
        <v>0</v>
      </c>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21"/>
    </row>
    <row r="103" spans="1:218" x14ac:dyDescent="0.25">
      <c r="A103" s="17"/>
      <c r="B103" s="17"/>
      <c r="C103" s="17"/>
      <c r="D103" s="17"/>
      <c r="E103" s="17"/>
      <c r="F103" s="17"/>
      <c r="G103" s="17"/>
      <c r="H103" s="17"/>
      <c r="I103" s="17"/>
      <c r="J103" s="17"/>
      <c r="K103" s="17">
        <f>SUM(Table19[[#This Row],[Challenge 1]:[Challenge 50]])</f>
        <v>0</v>
      </c>
      <c r="L103" s="88">
        <f>SUM(Table19[[#This Row],[Club 1]:[Club 50]])</f>
        <v>0</v>
      </c>
      <c r="M103" s="88">
        <f>SUM(Table19[[#This Row],[Intra-school sports 1]:[Intra-school sports 50]])</f>
        <v>0</v>
      </c>
      <c r="N103" s="88">
        <f>SUM(Table19[[#This Row],[Inter School sports 1]:[Inter School sports 50]])</f>
        <v>0</v>
      </c>
      <c r="O103" s="17">
        <f>COUNTIF(Table19[[#This Row],[Community club (type name of club(s). All clubs will count as ''1'']],"*")</f>
        <v>0</v>
      </c>
      <c r="P103" s="17">
        <f>IF(OR(Table19[[#This Row],[Total Challenges]]&gt;0,Table19[[#This Row],[Total Ex-C Clubs]]&gt;0,Table19[[#This Row],[Total Intra-School Sports]]&gt;0,Table19[[#This Row],[Total Inter-School Sports]]&gt;0,Table19[[#This Row],[Community Clubs]]&gt;0),1,0)</f>
        <v>0</v>
      </c>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21"/>
    </row>
    <row r="104" spans="1:218" x14ac:dyDescent="0.25">
      <c r="A104" s="17"/>
      <c r="B104" s="17"/>
      <c r="C104" s="17"/>
      <c r="D104" s="17"/>
      <c r="E104" s="17"/>
      <c r="F104" s="17"/>
      <c r="G104" s="17"/>
      <c r="H104" s="17"/>
      <c r="I104" s="17"/>
      <c r="J104" s="17"/>
      <c r="K104" s="17">
        <f>SUM(Table19[[#This Row],[Challenge 1]:[Challenge 50]])</f>
        <v>0</v>
      </c>
      <c r="L104" s="88">
        <f>SUM(Table19[[#This Row],[Club 1]:[Club 50]])</f>
        <v>0</v>
      </c>
      <c r="M104" s="88">
        <f>SUM(Table19[[#This Row],[Intra-school sports 1]:[Intra-school sports 50]])</f>
        <v>0</v>
      </c>
      <c r="N104" s="88">
        <f>SUM(Table19[[#This Row],[Inter School sports 1]:[Inter School sports 50]])</f>
        <v>0</v>
      </c>
      <c r="O104" s="17">
        <f>COUNTIF(Table19[[#This Row],[Community club (type name of club(s). All clubs will count as ''1'']],"*")</f>
        <v>0</v>
      </c>
      <c r="P104" s="17">
        <f>IF(OR(Table19[[#This Row],[Total Challenges]]&gt;0,Table19[[#This Row],[Total Ex-C Clubs]]&gt;0,Table19[[#This Row],[Total Intra-School Sports]]&gt;0,Table19[[#This Row],[Total Inter-School Sports]]&gt;0,Table19[[#This Row],[Community Clubs]]&gt;0),1,0)</f>
        <v>0</v>
      </c>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21"/>
    </row>
    <row r="105" spans="1:218" x14ac:dyDescent="0.25">
      <c r="A105" s="17"/>
      <c r="B105" s="17"/>
      <c r="C105" s="17"/>
      <c r="D105" s="17"/>
      <c r="E105" s="17"/>
      <c r="F105" s="17"/>
      <c r="G105" s="17"/>
      <c r="H105" s="17"/>
      <c r="I105" s="17"/>
      <c r="J105" s="17"/>
      <c r="K105" s="17">
        <f>SUM(Table19[[#This Row],[Challenge 1]:[Challenge 50]])</f>
        <v>0</v>
      </c>
      <c r="L105" s="88">
        <f>SUM(Table19[[#This Row],[Club 1]:[Club 50]])</f>
        <v>0</v>
      </c>
      <c r="M105" s="88">
        <f>SUM(Table19[[#This Row],[Intra-school sports 1]:[Intra-school sports 50]])</f>
        <v>0</v>
      </c>
      <c r="N105" s="88">
        <f>SUM(Table19[[#This Row],[Inter School sports 1]:[Inter School sports 50]])</f>
        <v>0</v>
      </c>
      <c r="O105" s="17">
        <f>COUNTIF(Table19[[#This Row],[Community club (type name of club(s). All clubs will count as ''1'']],"*")</f>
        <v>0</v>
      </c>
      <c r="P105" s="17">
        <f>IF(OR(Table19[[#This Row],[Total Challenges]]&gt;0,Table19[[#This Row],[Total Ex-C Clubs]]&gt;0,Table19[[#This Row],[Total Intra-School Sports]]&gt;0,Table19[[#This Row],[Total Inter-School Sports]]&gt;0,Table19[[#This Row],[Community Clubs]]&gt;0),1,0)</f>
        <v>0</v>
      </c>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21"/>
    </row>
    <row r="106" spans="1:218" x14ac:dyDescent="0.25">
      <c r="A106" s="17"/>
      <c r="B106" s="17"/>
      <c r="C106" s="17"/>
      <c r="D106" s="17"/>
      <c r="E106" s="17"/>
      <c r="F106" s="17"/>
      <c r="G106" s="17"/>
      <c r="H106" s="17"/>
      <c r="I106" s="17"/>
      <c r="J106" s="17"/>
      <c r="K106" s="17">
        <f>SUM(Table19[[#This Row],[Challenge 1]:[Challenge 50]])</f>
        <v>0</v>
      </c>
      <c r="L106" s="88">
        <f>SUM(Table19[[#This Row],[Club 1]:[Club 50]])</f>
        <v>0</v>
      </c>
      <c r="M106" s="88">
        <f>SUM(Table19[[#This Row],[Intra-school sports 1]:[Intra-school sports 50]])</f>
        <v>0</v>
      </c>
      <c r="N106" s="88">
        <f>SUM(Table19[[#This Row],[Inter School sports 1]:[Inter School sports 50]])</f>
        <v>0</v>
      </c>
      <c r="O106" s="17">
        <f>COUNTIF(Table19[[#This Row],[Community club (type name of club(s). All clubs will count as ''1'']],"*")</f>
        <v>0</v>
      </c>
      <c r="P106" s="17">
        <f>IF(OR(Table19[[#This Row],[Total Challenges]]&gt;0,Table19[[#This Row],[Total Ex-C Clubs]]&gt;0,Table19[[#This Row],[Total Intra-School Sports]]&gt;0,Table19[[#This Row],[Total Inter-School Sports]]&gt;0,Table19[[#This Row],[Community Clubs]]&gt;0),1,0)</f>
        <v>0</v>
      </c>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21"/>
    </row>
    <row r="107" spans="1:218" x14ac:dyDescent="0.25">
      <c r="A107" s="17"/>
      <c r="B107" s="17"/>
      <c r="C107" s="17"/>
      <c r="D107" s="17"/>
      <c r="E107" s="17"/>
      <c r="F107" s="17"/>
      <c r="G107" s="17"/>
      <c r="H107" s="17"/>
      <c r="I107" s="17"/>
      <c r="J107" s="17"/>
      <c r="K107" s="17">
        <f>SUM(Table19[[#This Row],[Challenge 1]:[Challenge 50]])</f>
        <v>0</v>
      </c>
      <c r="L107" s="88">
        <f>SUM(Table19[[#This Row],[Club 1]:[Club 50]])</f>
        <v>0</v>
      </c>
      <c r="M107" s="88">
        <f>SUM(Table19[[#This Row],[Intra-school sports 1]:[Intra-school sports 50]])</f>
        <v>0</v>
      </c>
      <c r="N107" s="88">
        <f>SUM(Table19[[#This Row],[Inter School sports 1]:[Inter School sports 50]])</f>
        <v>0</v>
      </c>
      <c r="O107" s="17">
        <f>COUNTIF(Table19[[#This Row],[Community club (type name of club(s). All clubs will count as ''1'']],"*")</f>
        <v>0</v>
      </c>
      <c r="P107" s="17">
        <f>IF(OR(Table19[[#This Row],[Total Challenges]]&gt;0,Table19[[#This Row],[Total Ex-C Clubs]]&gt;0,Table19[[#This Row],[Total Intra-School Sports]]&gt;0,Table19[[#This Row],[Total Inter-School Sports]]&gt;0,Table19[[#This Row],[Community Clubs]]&gt;0),1,0)</f>
        <v>0</v>
      </c>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21"/>
    </row>
    <row r="108" spans="1:218" x14ac:dyDescent="0.25">
      <c r="A108" s="17"/>
      <c r="B108" s="17"/>
      <c r="C108" s="17"/>
      <c r="D108" s="17"/>
      <c r="E108" s="17"/>
      <c r="F108" s="17"/>
      <c r="G108" s="17"/>
      <c r="H108" s="17"/>
      <c r="I108" s="17"/>
      <c r="J108" s="17"/>
      <c r="K108" s="17">
        <f>SUM(Table19[[#This Row],[Challenge 1]:[Challenge 50]])</f>
        <v>0</v>
      </c>
      <c r="L108" s="88">
        <f>SUM(Table19[[#This Row],[Club 1]:[Club 50]])</f>
        <v>0</v>
      </c>
      <c r="M108" s="88">
        <f>SUM(Table19[[#This Row],[Intra-school sports 1]:[Intra-school sports 50]])</f>
        <v>0</v>
      </c>
      <c r="N108" s="88">
        <f>SUM(Table19[[#This Row],[Inter School sports 1]:[Inter School sports 50]])</f>
        <v>0</v>
      </c>
      <c r="O108" s="17">
        <f>COUNTIF(Table19[[#This Row],[Community club (type name of club(s). All clubs will count as ''1'']],"*")</f>
        <v>0</v>
      </c>
      <c r="P108" s="17">
        <f>IF(OR(Table19[[#This Row],[Total Challenges]]&gt;0,Table19[[#This Row],[Total Ex-C Clubs]]&gt;0,Table19[[#This Row],[Total Intra-School Sports]]&gt;0,Table19[[#This Row],[Total Inter-School Sports]]&gt;0,Table19[[#This Row],[Community Clubs]]&gt;0),1,0)</f>
        <v>0</v>
      </c>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21"/>
    </row>
    <row r="109" spans="1:218" x14ac:dyDescent="0.25">
      <c r="A109" s="17"/>
      <c r="B109" s="17"/>
      <c r="C109" s="17"/>
      <c r="D109" s="17"/>
      <c r="E109" s="17"/>
      <c r="F109" s="17"/>
      <c r="G109" s="17"/>
      <c r="H109" s="17"/>
      <c r="I109" s="17"/>
      <c r="J109" s="17"/>
      <c r="K109" s="17">
        <f>SUM(Table19[[#This Row],[Challenge 1]:[Challenge 50]])</f>
        <v>0</v>
      </c>
      <c r="L109" s="88">
        <f>SUM(Table19[[#This Row],[Club 1]:[Club 50]])</f>
        <v>0</v>
      </c>
      <c r="M109" s="88">
        <f>SUM(Table19[[#This Row],[Intra-school sports 1]:[Intra-school sports 50]])</f>
        <v>0</v>
      </c>
      <c r="N109" s="88">
        <f>SUM(Table19[[#This Row],[Inter School sports 1]:[Inter School sports 50]])</f>
        <v>0</v>
      </c>
      <c r="O109" s="17">
        <f>COUNTIF(Table19[[#This Row],[Community club (type name of club(s). All clubs will count as ''1'']],"*")</f>
        <v>0</v>
      </c>
      <c r="P109" s="17">
        <f>IF(OR(Table19[[#This Row],[Total Challenges]]&gt;0,Table19[[#This Row],[Total Ex-C Clubs]]&gt;0,Table19[[#This Row],[Total Intra-School Sports]]&gt;0,Table19[[#This Row],[Total Inter-School Sports]]&gt;0,Table19[[#This Row],[Community Clubs]]&gt;0),1,0)</f>
        <v>0</v>
      </c>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21"/>
    </row>
    <row r="110" spans="1:218" x14ac:dyDescent="0.25">
      <c r="A110" s="17"/>
      <c r="B110" s="17"/>
      <c r="C110" s="17"/>
      <c r="D110" s="17"/>
      <c r="E110" s="17"/>
      <c r="F110" s="17"/>
      <c r="G110" s="17"/>
      <c r="H110" s="17"/>
      <c r="I110" s="17"/>
      <c r="J110" s="17"/>
      <c r="K110" s="17">
        <f>SUM(Table19[[#This Row],[Challenge 1]:[Challenge 50]])</f>
        <v>0</v>
      </c>
      <c r="L110" s="88">
        <f>SUM(Table19[[#This Row],[Club 1]:[Club 50]])</f>
        <v>0</v>
      </c>
      <c r="M110" s="88">
        <f>SUM(Table19[[#This Row],[Intra-school sports 1]:[Intra-school sports 50]])</f>
        <v>0</v>
      </c>
      <c r="N110" s="88">
        <f>SUM(Table19[[#This Row],[Inter School sports 1]:[Inter School sports 50]])</f>
        <v>0</v>
      </c>
      <c r="O110" s="17">
        <f>COUNTIF(Table19[[#This Row],[Community club (type name of club(s). All clubs will count as ''1'']],"*")</f>
        <v>0</v>
      </c>
      <c r="P110" s="17">
        <f>IF(OR(Table19[[#This Row],[Total Challenges]]&gt;0,Table19[[#This Row],[Total Ex-C Clubs]]&gt;0,Table19[[#This Row],[Total Intra-School Sports]]&gt;0,Table19[[#This Row],[Total Inter-School Sports]]&gt;0,Table19[[#This Row],[Community Clubs]]&gt;0),1,0)</f>
        <v>0</v>
      </c>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21"/>
    </row>
    <row r="111" spans="1:218" x14ac:dyDescent="0.25">
      <c r="A111" s="17"/>
      <c r="B111" s="17"/>
      <c r="C111" s="17"/>
      <c r="D111" s="17"/>
      <c r="E111" s="17"/>
      <c r="F111" s="17"/>
      <c r="G111" s="17"/>
      <c r="H111" s="17"/>
      <c r="I111" s="17"/>
      <c r="J111" s="17"/>
      <c r="K111" s="17">
        <f>SUM(Table19[[#This Row],[Challenge 1]:[Challenge 50]])</f>
        <v>0</v>
      </c>
      <c r="L111" s="88">
        <f>SUM(Table19[[#This Row],[Club 1]:[Club 50]])</f>
        <v>0</v>
      </c>
      <c r="M111" s="88">
        <f>SUM(Table19[[#This Row],[Intra-school sports 1]:[Intra-school sports 50]])</f>
        <v>0</v>
      </c>
      <c r="N111" s="88">
        <f>SUM(Table19[[#This Row],[Inter School sports 1]:[Inter School sports 50]])</f>
        <v>0</v>
      </c>
      <c r="O111" s="17">
        <f>COUNTIF(Table19[[#This Row],[Community club (type name of club(s). All clubs will count as ''1'']],"*")</f>
        <v>0</v>
      </c>
      <c r="P111" s="17">
        <f>IF(OR(Table19[[#This Row],[Total Challenges]]&gt;0,Table19[[#This Row],[Total Ex-C Clubs]]&gt;0,Table19[[#This Row],[Total Intra-School Sports]]&gt;0,Table19[[#This Row],[Total Inter-School Sports]]&gt;0,Table19[[#This Row],[Community Clubs]]&gt;0),1,0)</f>
        <v>0</v>
      </c>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21"/>
    </row>
    <row r="112" spans="1:218" x14ac:dyDescent="0.25">
      <c r="A112" s="17"/>
      <c r="B112" s="17"/>
      <c r="C112" s="17"/>
      <c r="D112" s="17"/>
      <c r="E112" s="17"/>
      <c r="F112" s="17"/>
      <c r="G112" s="17"/>
      <c r="H112" s="17"/>
      <c r="I112" s="17"/>
      <c r="J112" s="17"/>
      <c r="K112" s="17">
        <f>SUM(Table19[[#This Row],[Challenge 1]:[Challenge 50]])</f>
        <v>0</v>
      </c>
      <c r="L112" s="88">
        <f>SUM(Table19[[#This Row],[Club 1]:[Club 50]])</f>
        <v>0</v>
      </c>
      <c r="M112" s="88">
        <f>SUM(Table19[[#This Row],[Intra-school sports 1]:[Intra-school sports 50]])</f>
        <v>0</v>
      </c>
      <c r="N112" s="88">
        <f>SUM(Table19[[#This Row],[Inter School sports 1]:[Inter School sports 50]])</f>
        <v>0</v>
      </c>
      <c r="O112" s="17">
        <f>COUNTIF(Table19[[#This Row],[Community club (type name of club(s). All clubs will count as ''1'']],"*")</f>
        <v>0</v>
      </c>
      <c r="P112" s="17">
        <f>IF(OR(Table19[[#This Row],[Total Challenges]]&gt;0,Table19[[#This Row],[Total Ex-C Clubs]]&gt;0,Table19[[#This Row],[Total Intra-School Sports]]&gt;0,Table19[[#This Row],[Total Inter-School Sports]]&gt;0,Table19[[#This Row],[Community Clubs]]&gt;0),1,0)</f>
        <v>0</v>
      </c>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21"/>
    </row>
    <row r="113" spans="1:218" x14ac:dyDescent="0.25">
      <c r="A113" s="17"/>
      <c r="B113" s="17"/>
      <c r="C113" s="17"/>
      <c r="D113" s="17"/>
      <c r="E113" s="17"/>
      <c r="F113" s="17"/>
      <c r="G113" s="17"/>
      <c r="H113" s="17"/>
      <c r="I113" s="17"/>
      <c r="J113" s="17"/>
      <c r="K113" s="17">
        <f>SUM(Table19[[#This Row],[Challenge 1]:[Challenge 50]])</f>
        <v>0</v>
      </c>
      <c r="L113" s="88">
        <f>SUM(Table19[[#This Row],[Club 1]:[Club 50]])</f>
        <v>0</v>
      </c>
      <c r="M113" s="88">
        <f>SUM(Table19[[#This Row],[Intra-school sports 1]:[Intra-school sports 50]])</f>
        <v>0</v>
      </c>
      <c r="N113" s="88">
        <f>SUM(Table19[[#This Row],[Inter School sports 1]:[Inter School sports 50]])</f>
        <v>0</v>
      </c>
      <c r="O113" s="17">
        <f>COUNTIF(Table19[[#This Row],[Community club (type name of club(s). All clubs will count as ''1'']],"*")</f>
        <v>0</v>
      </c>
      <c r="P113" s="17">
        <f>IF(OR(Table19[[#This Row],[Total Challenges]]&gt;0,Table19[[#This Row],[Total Ex-C Clubs]]&gt;0,Table19[[#This Row],[Total Intra-School Sports]]&gt;0,Table19[[#This Row],[Total Inter-School Sports]]&gt;0,Table19[[#This Row],[Community Clubs]]&gt;0),1,0)</f>
        <v>0</v>
      </c>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21"/>
    </row>
    <row r="114" spans="1:218" x14ac:dyDescent="0.25">
      <c r="A114" s="17"/>
      <c r="B114" s="17"/>
      <c r="C114" s="17"/>
      <c r="D114" s="17"/>
      <c r="E114" s="17"/>
      <c r="F114" s="17"/>
      <c r="G114" s="17"/>
      <c r="H114" s="17"/>
      <c r="I114" s="17"/>
      <c r="J114" s="17"/>
      <c r="K114" s="17">
        <f>SUM(Table19[[#This Row],[Challenge 1]:[Challenge 50]])</f>
        <v>0</v>
      </c>
      <c r="L114" s="88">
        <f>SUM(Table19[[#This Row],[Club 1]:[Club 50]])</f>
        <v>0</v>
      </c>
      <c r="M114" s="88">
        <f>SUM(Table19[[#This Row],[Intra-school sports 1]:[Intra-school sports 50]])</f>
        <v>0</v>
      </c>
      <c r="N114" s="88">
        <f>SUM(Table19[[#This Row],[Inter School sports 1]:[Inter School sports 50]])</f>
        <v>0</v>
      </c>
      <c r="O114" s="17">
        <f>COUNTIF(Table19[[#This Row],[Community club (type name of club(s). All clubs will count as ''1'']],"*")</f>
        <v>0</v>
      </c>
      <c r="P114" s="17">
        <f>IF(OR(Table19[[#This Row],[Total Challenges]]&gt;0,Table19[[#This Row],[Total Ex-C Clubs]]&gt;0,Table19[[#This Row],[Total Intra-School Sports]]&gt;0,Table19[[#This Row],[Total Inter-School Sports]]&gt;0,Table19[[#This Row],[Community Clubs]]&gt;0),1,0)</f>
        <v>0</v>
      </c>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21"/>
    </row>
    <row r="115" spans="1:218" x14ac:dyDescent="0.25">
      <c r="A115" s="17"/>
      <c r="B115" s="17"/>
      <c r="C115" s="17"/>
      <c r="D115" s="17"/>
      <c r="E115" s="17"/>
      <c r="F115" s="17"/>
      <c r="G115" s="17"/>
      <c r="H115" s="17"/>
      <c r="I115" s="17"/>
      <c r="J115" s="17"/>
      <c r="K115" s="17">
        <f>SUM(Table19[[#This Row],[Challenge 1]:[Challenge 50]])</f>
        <v>0</v>
      </c>
      <c r="L115" s="88">
        <f>SUM(Table19[[#This Row],[Club 1]:[Club 50]])</f>
        <v>0</v>
      </c>
      <c r="M115" s="88">
        <f>SUM(Table19[[#This Row],[Intra-school sports 1]:[Intra-school sports 50]])</f>
        <v>0</v>
      </c>
      <c r="N115" s="88">
        <f>SUM(Table19[[#This Row],[Inter School sports 1]:[Inter School sports 50]])</f>
        <v>0</v>
      </c>
      <c r="O115" s="17">
        <f>COUNTIF(Table19[[#This Row],[Community club (type name of club(s). All clubs will count as ''1'']],"*")</f>
        <v>0</v>
      </c>
      <c r="P115" s="17">
        <f>IF(OR(Table19[[#This Row],[Total Challenges]]&gt;0,Table19[[#This Row],[Total Ex-C Clubs]]&gt;0,Table19[[#This Row],[Total Intra-School Sports]]&gt;0,Table19[[#This Row],[Total Inter-School Sports]]&gt;0,Table19[[#This Row],[Community Clubs]]&gt;0),1,0)</f>
        <v>0</v>
      </c>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21"/>
    </row>
    <row r="116" spans="1:218" x14ac:dyDescent="0.25">
      <c r="A116" s="17"/>
      <c r="B116" s="17"/>
      <c r="C116" s="17"/>
      <c r="D116" s="17"/>
      <c r="E116" s="17"/>
      <c r="F116" s="17"/>
      <c r="G116" s="17"/>
      <c r="H116" s="17"/>
      <c r="I116" s="17"/>
      <c r="J116" s="17"/>
      <c r="K116" s="17">
        <f>SUM(Table19[[#This Row],[Challenge 1]:[Challenge 50]])</f>
        <v>0</v>
      </c>
      <c r="L116" s="88">
        <f>SUM(Table19[[#This Row],[Club 1]:[Club 50]])</f>
        <v>0</v>
      </c>
      <c r="M116" s="88">
        <f>SUM(Table19[[#This Row],[Intra-school sports 1]:[Intra-school sports 50]])</f>
        <v>0</v>
      </c>
      <c r="N116" s="88">
        <f>SUM(Table19[[#This Row],[Inter School sports 1]:[Inter School sports 50]])</f>
        <v>0</v>
      </c>
      <c r="O116" s="17">
        <f>COUNTIF(Table19[[#This Row],[Community club (type name of club(s). All clubs will count as ''1'']],"*")</f>
        <v>0</v>
      </c>
      <c r="P116" s="17">
        <f>IF(OR(Table19[[#This Row],[Total Challenges]]&gt;0,Table19[[#This Row],[Total Ex-C Clubs]]&gt;0,Table19[[#This Row],[Total Intra-School Sports]]&gt;0,Table19[[#This Row],[Total Inter-School Sports]]&gt;0,Table19[[#This Row],[Community Clubs]]&gt;0),1,0)</f>
        <v>0</v>
      </c>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21"/>
    </row>
    <row r="117" spans="1:218" x14ac:dyDescent="0.25">
      <c r="A117" s="17"/>
      <c r="B117" s="17"/>
      <c r="C117" s="17"/>
      <c r="D117" s="17"/>
      <c r="E117" s="17"/>
      <c r="F117" s="17"/>
      <c r="G117" s="17"/>
      <c r="H117" s="17"/>
      <c r="I117" s="17"/>
      <c r="J117" s="17"/>
      <c r="K117" s="17">
        <f>SUM(Table19[[#This Row],[Challenge 1]:[Challenge 50]])</f>
        <v>0</v>
      </c>
      <c r="L117" s="88">
        <f>SUM(Table19[[#This Row],[Club 1]:[Club 50]])</f>
        <v>0</v>
      </c>
      <c r="M117" s="88">
        <f>SUM(Table19[[#This Row],[Intra-school sports 1]:[Intra-school sports 50]])</f>
        <v>0</v>
      </c>
      <c r="N117" s="88">
        <f>SUM(Table19[[#This Row],[Inter School sports 1]:[Inter School sports 50]])</f>
        <v>0</v>
      </c>
      <c r="O117" s="17">
        <f>COUNTIF(Table19[[#This Row],[Community club (type name of club(s). All clubs will count as ''1'']],"*")</f>
        <v>0</v>
      </c>
      <c r="P117" s="17">
        <f>IF(OR(Table19[[#This Row],[Total Challenges]]&gt;0,Table19[[#This Row],[Total Ex-C Clubs]]&gt;0,Table19[[#This Row],[Total Intra-School Sports]]&gt;0,Table19[[#This Row],[Total Inter-School Sports]]&gt;0,Table19[[#This Row],[Community Clubs]]&gt;0),1,0)</f>
        <v>0</v>
      </c>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21"/>
    </row>
    <row r="118" spans="1:218" x14ac:dyDescent="0.25">
      <c r="A118" s="17"/>
      <c r="B118" s="17"/>
      <c r="C118" s="17"/>
      <c r="D118" s="17"/>
      <c r="E118" s="17"/>
      <c r="F118" s="17"/>
      <c r="G118" s="17"/>
      <c r="H118" s="17"/>
      <c r="I118" s="17"/>
      <c r="J118" s="17"/>
      <c r="K118" s="17">
        <f>SUM(Table19[[#This Row],[Challenge 1]:[Challenge 50]])</f>
        <v>0</v>
      </c>
      <c r="L118" s="88">
        <f>SUM(Table19[[#This Row],[Club 1]:[Club 50]])</f>
        <v>0</v>
      </c>
      <c r="M118" s="88">
        <f>SUM(Table19[[#This Row],[Intra-school sports 1]:[Intra-school sports 50]])</f>
        <v>0</v>
      </c>
      <c r="N118" s="88">
        <f>SUM(Table19[[#This Row],[Inter School sports 1]:[Inter School sports 50]])</f>
        <v>0</v>
      </c>
      <c r="O118" s="17">
        <f>COUNTIF(Table19[[#This Row],[Community club (type name of club(s). All clubs will count as ''1'']],"*")</f>
        <v>0</v>
      </c>
      <c r="P118" s="17">
        <f>IF(OR(Table19[[#This Row],[Total Challenges]]&gt;0,Table19[[#This Row],[Total Ex-C Clubs]]&gt;0,Table19[[#This Row],[Total Intra-School Sports]]&gt;0,Table19[[#This Row],[Total Inter-School Sports]]&gt;0,Table19[[#This Row],[Community Clubs]]&gt;0),1,0)</f>
        <v>0</v>
      </c>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21"/>
    </row>
    <row r="119" spans="1:218" x14ac:dyDescent="0.25">
      <c r="A119" s="17"/>
      <c r="B119" s="17"/>
      <c r="C119" s="17"/>
      <c r="D119" s="17"/>
      <c r="E119" s="17"/>
      <c r="F119" s="17"/>
      <c r="G119" s="17"/>
      <c r="H119" s="17"/>
      <c r="I119" s="17"/>
      <c r="J119" s="17"/>
      <c r="K119" s="17">
        <f>SUM(Table19[[#This Row],[Challenge 1]:[Challenge 50]])</f>
        <v>0</v>
      </c>
      <c r="L119" s="88">
        <f>SUM(Table19[[#This Row],[Club 1]:[Club 50]])</f>
        <v>0</v>
      </c>
      <c r="M119" s="88">
        <f>SUM(Table19[[#This Row],[Intra-school sports 1]:[Intra-school sports 50]])</f>
        <v>0</v>
      </c>
      <c r="N119" s="88">
        <f>SUM(Table19[[#This Row],[Inter School sports 1]:[Inter School sports 50]])</f>
        <v>0</v>
      </c>
      <c r="O119" s="17">
        <f>COUNTIF(Table19[[#This Row],[Community club (type name of club(s). All clubs will count as ''1'']],"*")</f>
        <v>0</v>
      </c>
      <c r="P119" s="17">
        <f>IF(OR(Table19[[#This Row],[Total Challenges]]&gt;0,Table19[[#This Row],[Total Ex-C Clubs]]&gt;0,Table19[[#This Row],[Total Intra-School Sports]]&gt;0,Table19[[#This Row],[Total Inter-School Sports]]&gt;0,Table19[[#This Row],[Community Clubs]]&gt;0),1,0)</f>
        <v>0</v>
      </c>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21"/>
    </row>
    <row r="120" spans="1:218" x14ac:dyDescent="0.25">
      <c r="A120" s="17"/>
      <c r="B120" s="17"/>
      <c r="C120" s="17"/>
      <c r="D120" s="17"/>
      <c r="E120" s="17"/>
      <c r="F120" s="17"/>
      <c r="G120" s="17"/>
      <c r="H120" s="17"/>
      <c r="I120" s="17"/>
      <c r="J120" s="17"/>
      <c r="K120" s="17">
        <f>SUM(Table19[[#This Row],[Challenge 1]:[Challenge 50]])</f>
        <v>0</v>
      </c>
      <c r="L120" s="88">
        <f>SUM(Table19[[#This Row],[Club 1]:[Club 50]])</f>
        <v>0</v>
      </c>
      <c r="M120" s="88">
        <f>SUM(Table19[[#This Row],[Intra-school sports 1]:[Intra-school sports 50]])</f>
        <v>0</v>
      </c>
      <c r="N120" s="88">
        <f>SUM(Table19[[#This Row],[Inter School sports 1]:[Inter School sports 50]])</f>
        <v>0</v>
      </c>
      <c r="O120" s="17">
        <f>COUNTIF(Table19[[#This Row],[Community club (type name of club(s). All clubs will count as ''1'']],"*")</f>
        <v>0</v>
      </c>
      <c r="P120" s="17">
        <f>IF(OR(Table19[[#This Row],[Total Challenges]]&gt;0,Table19[[#This Row],[Total Ex-C Clubs]]&gt;0,Table19[[#This Row],[Total Intra-School Sports]]&gt;0,Table19[[#This Row],[Total Inter-School Sports]]&gt;0,Table19[[#This Row],[Community Clubs]]&gt;0),1,0)</f>
        <v>0</v>
      </c>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21"/>
    </row>
    <row r="121" spans="1:218" x14ac:dyDescent="0.25">
      <c r="A121" s="17"/>
      <c r="B121" s="17"/>
      <c r="C121" s="17"/>
      <c r="D121" s="17"/>
      <c r="E121" s="17"/>
      <c r="F121" s="17"/>
      <c r="G121" s="17"/>
      <c r="H121" s="17"/>
      <c r="I121" s="17"/>
      <c r="J121" s="17"/>
      <c r="K121" s="17">
        <f>SUM(Table19[[#This Row],[Challenge 1]:[Challenge 50]])</f>
        <v>0</v>
      </c>
      <c r="L121" s="88">
        <f>SUM(Table19[[#This Row],[Club 1]:[Club 50]])</f>
        <v>0</v>
      </c>
      <c r="M121" s="88">
        <f>SUM(Table19[[#This Row],[Intra-school sports 1]:[Intra-school sports 50]])</f>
        <v>0</v>
      </c>
      <c r="N121" s="88">
        <f>SUM(Table19[[#This Row],[Inter School sports 1]:[Inter School sports 50]])</f>
        <v>0</v>
      </c>
      <c r="O121" s="17">
        <f>COUNTIF(Table19[[#This Row],[Community club (type name of club(s). All clubs will count as ''1'']],"*")</f>
        <v>0</v>
      </c>
      <c r="P121" s="17">
        <f>IF(OR(Table19[[#This Row],[Total Challenges]]&gt;0,Table19[[#This Row],[Total Ex-C Clubs]]&gt;0,Table19[[#This Row],[Total Intra-School Sports]]&gt;0,Table19[[#This Row],[Total Inter-School Sports]]&gt;0,Table19[[#This Row],[Community Clubs]]&gt;0),1,0)</f>
        <v>0</v>
      </c>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21"/>
    </row>
    <row r="122" spans="1:218" x14ac:dyDescent="0.25">
      <c r="A122" s="17"/>
      <c r="B122" s="17"/>
      <c r="C122" s="17"/>
      <c r="D122" s="17"/>
      <c r="E122" s="17"/>
      <c r="F122" s="17"/>
      <c r="G122" s="17"/>
      <c r="H122" s="17"/>
      <c r="I122" s="17"/>
      <c r="J122" s="17"/>
      <c r="K122" s="17">
        <f>SUM(Table19[[#This Row],[Challenge 1]:[Challenge 50]])</f>
        <v>0</v>
      </c>
      <c r="L122" s="88">
        <f>SUM(Table19[[#This Row],[Club 1]:[Club 50]])</f>
        <v>0</v>
      </c>
      <c r="M122" s="88">
        <f>SUM(Table19[[#This Row],[Intra-school sports 1]:[Intra-school sports 50]])</f>
        <v>0</v>
      </c>
      <c r="N122" s="88">
        <f>SUM(Table19[[#This Row],[Inter School sports 1]:[Inter School sports 50]])</f>
        <v>0</v>
      </c>
      <c r="O122" s="17">
        <f>COUNTIF(Table19[[#This Row],[Community club (type name of club(s). All clubs will count as ''1'']],"*")</f>
        <v>0</v>
      </c>
      <c r="P122" s="17">
        <f>IF(OR(Table19[[#This Row],[Total Challenges]]&gt;0,Table19[[#This Row],[Total Ex-C Clubs]]&gt;0,Table19[[#This Row],[Total Intra-School Sports]]&gt;0,Table19[[#This Row],[Total Inter-School Sports]]&gt;0,Table19[[#This Row],[Community Clubs]]&gt;0),1,0)</f>
        <v>0</v>
      </c>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21"/>
    </row>
    <row r="123" spans="1:218" x14ac:dyDescent="0.25">
      <c r="A123" s="17"/>
      <c r="B123" s="17"/>
      <c r="C123" s="17"/>
      <c r="D123" s="17"/>
      <c r="E123" s="17"/>
      <c r="F123" s="17"/>
      <c r="G123" s="17"/>
      <c r="H123" s="17"/>
      <c r="I123" s="17"/>
      <c r="J123" s="17"/>
      <c r="K123" s="17">
        <f>SUM(Table19[[#This Row],[Challenge 1]:[Challenge 50]])</f>
        <v>0</v>
      </c>
      <c r="L123" s="88">
        <f>SUM(Table19[[#This Row],[Club 1]:[Club 50]])</f>
        <v>0</v>
      </c>
      <c r="M123" s="88">
        <f>SUM(Table19[[#This Row],[Intra-school sports 1]:[Intra-school sports 50]])</f>
        <v>0</v>
      </c>
      <c r="N123" s="88">
        <f>SUM(Table19[[#This Row],[Inter School sports 1]:[Inter School sports 50]])</f>
        <v>0</v>
      </c>
      <c r="O123" s="17">
        <f>COUNTIF(Table19[[#This Row],[Community club (type name of club(s). All clubs will count as ''1'']],"*")</f>
        <v>0</v>
      </c>
      <c r="P123" s="17">
        <f>IF(OR(Table19[[#This Row],[Total Challenges]]&gt;0,Table19[[#This Row],[Total Ex-C Clubs]]&gt;0,Table19[[#This Row],[Total Intra-School Sports]]&gt;0,Table19[[#This Row],[Total Inter-School Sports]]&gt;0,Table19[[#This Row],[Community Clubs]]&gt;0),1,0)</f>
        <v>0</v>
      </c>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21"/>
    </row>
    <row r="124" spans="1:218" x14ac:dyDescent="0.25">
      <c r="A124" s="17"/>
      <c r="B124" s="17"/>
      <c r="C124" s="17"/>
      <c r="D124" s="17"/>
      <c r="E124" s="17"/>
      <c r="F124" s="17"/>
      <c r="G124" s="17"/>
      <c r="H124" s="17"/>
      <c r="I124" s="17"/>
      <c r="J124" s="17"/>
      <c r="K124" s="17">
        <f>SUM(Table19[[#This Row],[Challenge 1]:[Challenge 50]])</f>
        <v>0</v>
      </c>
      <c r="L124" s="88">
        <f>SUM(Table19[[#This Row],[Club 1]:[Club 50]])</f>
        <v>0</v>
      </c>
      <c r="M124" s="88">
        <f>SUM(Table19[[#This Row],[Intra-school sports 1]:[Intra-school sports 50]])</f>
        <v>0</v>
      </c>
      <c r="N124" s="88">
        <f>SUM(Table19[[#This Row],[Inter School sports 1]:[Inter School sports 50]])</f>
        <v>0</v>
      </c>
      <c r="O124" s="17">
        <f>COUNTIF(Table19[[#This Row],[Community club (type name of club(s). All clubs will count as ''1'']],"*")</f>
        <v>0</v>
      </c>
      <c r="P124" s="17">
        <f>IF(OR(Table19[[#This Row],[Total Challenges]]&gt;0,Table19[[#This Row],[Total Ex-C Clubs]]&gt;0,Table19[[#This Row],[Total Intra-School Sports]]&gt;0,Table19[[#This Row],[Total Inter-School Sports]]&gt;0,Table19[[#This Row],[Community Clubs]]&gt;0),1,0)</f>
        <v>0</v>
      </c>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21"/>
    </row>
    <row r="125" spans="1:218" x14ac:dyDescent="0.25">
      <c r="A125" s="17"/>
      <c r="B125" s="17"/>
      <c r="C125" s="17"/>
      <c r="D125" s="17"/>
      <c r="E125" s="17"/>
      <c r="F125" s="17"/>
      <c r="G125" s="17"/>
      <c r="H125" s="17"/>
      <c r="I125" s="17"/>
      <c r="J125" s="17"/>
      <c r="K125" s="17">
        <f>SUM(Table19[[#This Row],[Challenge 1]:[Challenge 50]])</f>
        <v>0</v>
      </c>
      <c r="L125" s="88">
        <f>SUM(Table19[[#This Row],[Club 1]:[Club 50]])</f>
        <v>0</v>
      </c>
      <c r="M125" s="88">
        <f>SUM(Table19[[#This Row],[Intra-school sports 1]:[Intra-school sports 50]])</f>
        <v>0</v>
      </c>
      <c r="N125" s="88">
        <f>SUM(Table19[[#This Row],[Inter School sports 1]:[Inter School sports 50]])</f>
        <v>0</v>
      </c>
      <c r="O125" s="17">
        <f>COUNTIF(Table19[[#This Row],[Community club (type name of club(s). All clubs will count as ''1'']],"*")</f>
        <v>0</v>
      </c>
      <c r="P125" s="17">
        <f>IF(OR(Table19[[#This Row],[Total Challenges]]&gt;0,Table19[[#This Row],[Total Ex-C Clubs]]&gt;0,Table19[[#This Row],[Total Intra-School Sports]]&gt;0,Table19[[#This Row],[Total Inter-School Sports]]&gt;0,Table19[[#This Row],[Community Clubs]]&gt;0),1,0)</f>
        <v>0</v>
      </c>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21"/>
    </row>
    <row r="126" spans="1:218" x14ac:dyDescent="0.25">
      <c r="A126" s="17"/>
      <c r="B126" s="17"/>
      <c r="C126" s="17"/>
      <c r="D126" s="17"/>
      <c r="E126" s="17"/>
      <c r="F126" s="17"/>
      <c r="G126" s="17"/>
      <c r="H126" s="17"/>
      <c r="I126" s="17"/>
      <c r="J126" s="17"/>
      <c r="K126" s="17">
        <f>SUM(Table19[[#This Row],[Challenge 1]:[Challenge 50]])</f>
        <v>0</v>
      </c>
      <c r="L126" s="88">
        <f>SUM(Table19[[#This Row],[Club 1]:[Club 50]])</f>
        <v>0</v>
      </c>
      <c r="M126" s="88">
        <f>SUM(Table19[[#This Row],[Intra-school sports 1]:[Intra-school sports 50]])</f>
        <v>0</v>
      </c>
      <c r="N126" s="88">
        <f>SUM(Table19[[#This Row],[Inter School sports 1]:[Inter School sports 50]])</f>
        <v>0</v>
      </c>
      <c r="O126" s="17">
        <f>COUNTIF(Table19[[#This Row],[Community club (type name of club(s). All clubs will count as ''1'']],"*")</f>
        <v>0</v>
      </c>
      <c r="P126" s="17">
        <f>IF(OR(Table19[[#This Row],[Total Challenges]]&gt;0,Table19[[#This Row],[Total Ex-C Clubs]]&gt;0,Table19[[#This Row],[Total Intra-School Sports]]&gt;0,Table19[[#This Row],[Total Inter-School Sports]]&gt;0,Table19[[#This Row],[Community Clubs]]&gt;0),1,0)</f>
        <v>0</v>
      </c>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21"/>
    </row>
    <row r="127" spans="1:218" x14ac:dyDescent="0.25">
      <c r="A127" s="17"/>
      <c r="B127" s="17"/>
      <c r="C127" s="17"/>
      <c r="D127" s="17"/>
      <c r="E127" s="17"/>
      <c r="F127" s="17"/>
      <c r="G127" s="17"/>
      <c r="H127" s="17"/>
      <c r="I127" s="17"/>
      <c r="J127" s="17"/>
      <c r="K127" s="17">
        <f>SUM(Table19[[#This Row],[Challenge 1]:[Challenge 50]])</f>
        <v>0</v>
      </c>
      <c r="L127" s="88">
        <f>SUM(Table19[[#This Row],[Club 1]:[Club 50]])</f>
        <v>0</v>
      </c>
      <c r="M127" s="88">
        <f>SUM(Table19[[#This Row],[Intra-school sports 1]:[Intra-school sports 50]])</f>
        <v>0</v>
      </c>
      <c r="N127" s="88">
        <f>SUM(Table19[[#This Row],[Inter School sports 1]:[Inter School sports 50]])</f>
        <v>0</v>
      </c>
      <c r="O127" s="17">
        <f>COUNTIF(Table19[[#This Row],[Community club (type name of club(s). All clubs will count as ''1'']],"*")</f>
        <v>0</v>
      </c>
      <c r="P127" s="17">
        <f>IF(OR(Table19[[#This Row],[Total Challenges]]&gt;0,Table19[[#This Row],[Total Ex-C Clubs]]&gt;0,Table19[[#This Row],[Total Intra-School Sports]]&gt;0,Table19[[#This Row],[Total Inter-School Sports]]&gt;0,Table19[[#This Row],[Community Clubs]]&gt;0),1,0)</f>
        <v>0</v>
      </c>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21"/>
    </row>
    <row r="128" spans="1:218" x14ac:dyDescent="0.25">
      <c r="A128" s="17"/>
      <c r="B128" s="17"/>
      <c r="C128" s="17"/>
      <c r="D128" s="17"/>
      <c r="E128" s="17"/>
      <c r="F128" s="17"/>
      <c r="G128" s="17"/>
      <c r="H128" s="17"/>
      <c r="I128" s="17"/>
      <c r="J128" s="17"/>
      <c r="K128" s="17">
        <f>SUM(Table19[[#This Row],[Challenge 1]:[Challenge 50]])</f>
        <v>0</v>
      </c>
      <c r="L128" s="88">
        <f>SUM(Table19[[#This Row],[Club 1]:[Club 50]])</f>
        <v>0</v>
      </c>
      <c r="M128" s="88">
        <f>SUM(Table19[[#This Row],[Intra-school sports 1]:[Intra-school sports 50]])</f>
        <v>0</v>
      </c>
      <c r="N128" s="88">
        <f>SUM(Table19[[#This Row],[Inter School sports 1]:[Inter School sports 50]])</f>
        <v>0</v>
      </c>
      <c r="O128" s="17">
        <f>COUNTIF(Table19[[#This Row],[Community club (type name of club(s). All clubs will count as ''1'']],"*")</f>
        <v>0</v>
      </c>
      <c r="P128" s="17">
        <f>IF(OR(Table19[[#This Row],[Total Challenges]]&gt;0,Table19[[#This Row],[Total Ex-C Clubs]]&gt;0,Table19[[#This Row],[Total Intra-School Sports]]&gt;0,Table19[[#This Row],[Total Inter-School Sports]]&gt;0,Table19[[#This Row],[Community Clubs]]&gt;0),1,0)</f>
        <v>0</v>
      </c>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21"/>
    </row>
    <row r="129" spans="1:218" x14ac:dyDescent="0.25">
      <c r="A129" s="17"/>
      <c r="B129" s="17"/>
      <c r="C129" s="17"/>
      <c r="D129" s="17"/>
      <c r="E129" s="17"/>
      <c r="F129" s="17"/>
      <c r="G129" s="17"/>
      <c r="H129" s="17"/>
      <c r="I129" s="17"/>
      <c r="J129" s="17"/>
      <c r="K129" s="17">
        <f>SUM(Table19[[#This Row],[Challenge 1]:[Challenge 50]])</f>
        <v>0</v>
      </c>
      <c r="L129" s="88">
        <f>SUM(Table19[[#This Row],[Club 1]:[Club 50]])</f>
        <v>0</v>
      </c>
      <c r="M129" s="88">
        <f>SUM(Table19[[#This Row],[Intra-school sports 1]:[Intra-school sports 50]])</f>
        <v>0</v>
      </c>
      <c r="N129" s="88">
        <f>SUM(Table19[[#This Row],[Inter School sports 1]:[Inter School sports 50]])</f>
        <v>0</v>
      </c>
      <c r="O129" s="17">
        <f>COUNTIF(Table19[[#This Row],[Community club (type name of club(s). All clubs will count as ''1'']],"*")</f>
        <v>0</v>
      </c>
      <c r="P129" s="17">
        <f>IF(OR(Table19[[#This Row],[Total Challenges]]&gt;0,Table19[[#This Row],[Total Ex-C Clubs]]&gt;0,Table19[[#This Row],[Total Intra-School Sports]]&gt;0,Table19[[#This Row],[Total Inter-School Sports]]&gt;0,Table19[[#This Row],[Community Clubs]]&gt;0),1,0)</f>
        <v>0</v>
      </c>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21"/>
    </row>
    <row r="130" spans="1:218" x14ac:dyDescent="0.25">
      <c r="A130" s="17"/>
      <c r="B130" s="17"/>
      <c r="C130" s="17"/>
      <c r="D130" s="17"/>
      <c r="E130" s="17"/>
      <c r="F130" s="17"/>
      <c r="G130" s="17"/>
      <c r="H130" s="17"/>
      <c r="I130" s="17"/>
      <c r="J130" s="17"/>
      <c r="K130" s="17">
        <f>SUM(Table19[[#This Row],[Challenge 1]:[Challenge 50]])</f>
        <v>0</v>
      </c>
      <c r="L130" s="88">
        <f>SUM(Table19[[#This Row],[Club 1]:[Club 50]])</f>
        <v>0</v>
      </c>
      <c r="M130" s="88">
        <f>SUM(Table19[[#This Row],[Intra-school sports 1]:[Intra-school sports 50]])</f>
        <v>0</v>
      </c>
      <c r="N130" s="88">
        <f>SUM(Table19[[#This Row],[Inter School sports 1]:[Inter School sports 50]])</f>
        <v>0</v>
      </c>
      <c r="O130" s="17">
        <f>COUNTIF(Table19[[#This Row],[Community club (type name of club(s). All clubs will count as ''1'']],"*")</f>
        <v>0</v>
      </c>
      <c r="P130" s="17">
        <f>IF(OR(Table19[[#This Row],[Total Challenges]]&gt;0,Table19[[#This Row],[Total Ex-C Clubs]]&gt;0,Table19[[#This Row],[Total Intra-School Sports]]&gt;0,Table19[[#This Row],[Total Inter-School Sports]]&gt;0,Table19[[#This Row],[Community Clubs]]&gt;0),1,0)</f>
        <v>0</v>
      </c>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21"/>
    </row>
    <row r="131" spans="1:218" x14ac:dyDescent="0.25">
      <c r="A131" s="17"/>
      <c r="B131" s="17"/>
      <c r="C131" s="17"/>
      <c r="D131" s="17"/>
      <c r="E131" s="17"/>
      <c r="F131" s="17"/>
      <c r="G131" s="17"/>
      <c r="H131" s="17"/>
      <c r="I131" s="17"/>
      <c r="J131" s="17"/>
      <c r="K131" s="17">
        <f>SUM(Table19[[#This Row],[Challenge 1]:[Challenge 50]])</f>
        <v>0</v>
      </c>
      <c r="L131" s="88">
        <f>SUM(Table19[[#This Row],[Club 1]:[Club 50]])</f>
        <v>0</v>
      </c>
      <c r="M131" s="88">
        <f>SUM(Table19[[#This Row],[Intra-school sports 1]:[Intra-school sports 50]])</f>
        <v>0</v>
      </c>
      <c r="N131" s="88">
        <f>SUM(Table19[[#This Row],[Inter School sports 1]:[Inter School sports 50]])</f>
        <v>0</v>
      </c>
      <c r="O131" s="17">
        <f>COUNTIF(Table19[[#This Row],[Community club (type name of club(s). All clubs will count as ''1'']],"*")</f>
        <v>0</v>
      </c>
      <c r="P131" s="17">
        <f>IF(OR(Table19[[#This Row],[Total Challenges]]&gt;0,Table19[[#This Row],[Total Ex-C Clubs]]&gt;0,Table19[[#This Row],[Total Intra-School Sports]]&gt;0,Table19[[#This Row],[Total Inter-School Sports]]&gt;0,Table19[[#This Row],[Community Clubs]]&gt;0),1,0)</f>
        <v>0</v>
      </c>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21"/>
    </row>
    <row r="132" spans="1:218" x14ac:dyDescent="0.25">
      <c r="A132" s="17"/>
      <c r="B132" s="17"/>
      <c r="C132" s="17"/>
      <c r="D132" s="17"/>
      <c r="E132" s="17"/>
      <c r="F132" s="17"/>
      <c r="G132" s="17"/>
      <c r="H132" s="17"/>
      <c r="I132" s="17"/>
      <c r="J132" s="17"/>
      <c r="K132" s="17">
        <f>SUM(Table19[[#This Row],[Challenge 1]:[Challenge 50]])</f>
        <v>0</v>
      </c>
      <c r="L132" s="88">
        <f>SUM(Table19[[#This Row],[Club 1]:[Club 50]])</f>
        <v>0</v>
      </c>
      <c r="M132" s="88">
        <f>SUM(Table19[[#This Row],[Intra-school sports 1]:[Intra-school sports 50]])</f>
        <v>0</v>
      </c>
      <c r="N132" s="88">
        <f>SUM(Table19[[#This Row],[Inter School sports 1]:[Inter School sports 50]])</f>
        <v>0</v>
      </c>
      <c r="O132" s="17">
        <f>COUNTIF(Table19[[#This Row],[Community club (type name of club(s). All clubs will count as ''1'']],"*")</f>
        <v>0</v>
      </c>
      <c r="P132" s="17">
        <f>IF(OR(Table19[[#This Row],[Total Challenges]]&gt;0,Table19[[#This Row],[Total Ex-C Clubs]]&gt;0,Table19[[#This Row],[Total Intra-School Sports]]&gt;0,Table19[[#This Row],[Total Inter-School Sports]]&gt;0,Table19[[#This Row],[Community Clubs]]&gt;0),1,0)</f>
        <v>0</v>
      </c>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21"/>
    </row>
    <row r="133" spans="1:218" x14ac:dyDescent="0.25">
      <c r="A133" s="17"/>
      <c r="B133" s="17"/>
      <c r="C133" s="17"/>
      <c r="D133" s="17"/>
      <c r="E133" s="17"/>
      <c r="F133" s="17"/>
      <c r="G133" s="17"/>
      <c r="H133" s="17"/>
      <c r="I133" s="17"/>
      <c r="J133" s="17"/>
      <c r="K133" s="17">
        <f>SUM(Table19[[#This Row],[Challenge 1]:[Challenge 50]])</f>
        <v>0</v>
      </c>
      <c r="L133" s="88">
        <f>SUM(Table19[[#This Row],[Club 1]:[Club 50]])</f>
        <v>0</v>
      </c>
      <c r="M133" s="88">
        <f>SUM(Table19[[#This Row],[Intra-school sports 1]:[Intra-school sports 50]])</f>
        <v>0</v>
      </c>
      <c r="N133" s="88">
        <f>SUM(Table19[[#This Row],[Inter School sports 1]:[Inter School sports 50]])</f>
        <v>0</v>
      </c>
      <c r="O133" s="17">
        <f>COUNTIF(Table19[[#This Row],[Community club (type name of club(s). All clubs will count as ''1'']],"*")</f>
        <v>0</v>
      </c>
      <c r="P133" s="17">
        <f>IF(OR(Table19[[#This Row],[Total Challenges]]&gt;0,Table19[[#This Row],[Total Ex-C Clubs]]&gt;0,Table19[[#This Row],[Total Intra-School Sports]]&gt;0,Table19[[#This Row],[Total Inter-School Sports]]&gt;0,Table19[[#This Row],[Community Clubs]]&gt;0),1,0)</f>
        <v>0</v>
      </c>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21"/>
    </row>
    <row r="134" spans="1:218" x14ac:dyDescent="0.25">
      <c r="A134" s="17"/>
      <c r="B134" s="17"/>
      <c r="C134" s="17"/>
      <c r="D134" s="17"/>
      <c r="E134" s="17"/>
      <c r="F134" s="17"/>
      <c r="G134" s="17"/>
      <c r="H134" s="17"/>
      <c r="I134" s="17"/>
      <c r="J134" s="17"/>
      <c r="K134" s="17">
        <f>SUM(Table19[[#This Row],[Challenge 1]:[Challenge 50]])</f>
        <v>0</v>
      </c>
      <c r="L134" s="88">
        <f>SUM(Table19[[#This Row],[Club 1]:[Club 50]])</f>
        <v>0</v>
      </c>
      <c r="M134" s="88">
        <f>SUM(Table19[[#This Row],[Intra-school sports 1]:[Intra-school sports 50]])</f>
        <v>0</v>
      </c>
      <c r="N134" s="88">
        <f>SUM(Table19[[#This Row],[Inter School sports 1]:[Inter School sports 50]])</f>
        <v>0</v>
      </c>
      <c r="O134" s="17">
        <f>COUNTIF(Table19[[#This Row],[Community club (type name of club(s). All clubs will count as ''1'']],"*")</f>
        <v>0</v>
      </c>
      <c r="P134" s="17">
        <f>IF(OR(Table19[[#This Row],[Total Challenges]]&gt;0,Table19[[#This Row],[Total Ex-C Clubs]]&gt;0,Table19[[#This Row],[Total Intra-School Sports]]&gt;0,Table19[[#This Row],[Total Inter-School Sports]]&gt;0,Table19[[#This Row],[Community Clubs]]&gt;0),1,0)</f>
        <v>0</v>
      </c>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21"/>
    </row>
    <row r="135" spans="1:218" x14ac:dyDescent="0.25">
      <c r="A135" s="17"/>
      <c r="B135" s="17"/>
      <c r="C135" s="17"/>
      <c r="D135" s="17"/>
      <c r="E135" s="17"/>
      <c r="F135" s="17"/>
      <c r="G135" s="17"/>
      <c r="H135" s="17"/>
      <c r="I135" s="17"/>
      <c r="J135" s="17"/>
      <c r="K135" s="17">
        <f>SUM(Table19[[#This Row],[Challenge 1]:[Challenge 50]])</f>
        <v>0</v>
      </c>
      <c r="L135" s="88">
        <f>SUM(Table19[[#This Row],[Club 1]:[Club 50]])</f>
        <v>0</v>
      </c>
      <c r="M135" s="88">
        <f>SUM(Table19[[#This Row],[Intra-school sports 1]:[Intra-school sports 50]])</f>
        <v>0</v>
      </c>
      <c r="N135" s="88">
        <f>SUM(Table19[[#This Row],[Inter School sports 1]:[Inter School sports 50]])</f>
        <v>0</v>
      </c>
      <c r="O135" s="17">
        <f>COUNTIF(Table19[[#This Row],[Community club (type name of club(s). All clubs will count as ''1'']],"*")</f>
        <v>0</v>
      </c>
      <c r="P135" s="17">
        <f>IF(OR(Table19[[#This Row],[Total Challenges]]&gt;0,Table19[[#This Row],[Total Ex-C Clubs]]&gt;0,Table19[[#This Row],[Total Intra-School Sports]]&gt;0,Table19[[#This Row],[Total Inter-School Sports]]&gt;0,Table19[[#This Row],[Community Clubs]]&gt;0),1,0)</f>
        <v>0</v>
      </c>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21"/>
    </row>
    <row r="136" spans="1:218" x14ac:dyDescent="0.25">
      <c r="A136" s="17"/>
      <c r="B136" s="17"/>
      <c r="C136" s="17"/>
      <c r="D136" s="17"/>
      <c r="E136" s="17"/>
      <c r="F136" s="17"/>
      <c r="G136" s="17"/>
      <c r="H136" s="17"/>
      <c r="I136" s="17"/>
      <c r="J136" s="17"/>
      <c r="K136" s="17">
        <f>SUM(Table19[[#This Row],[Challenge 1]:[Challenge 50]])</f>
        <v>0</v>
      </c>
      <c r="L136" s="88">
        <f>SUM(Table19[[#This Row],[Club 1]:[Club 50]])</f>
        <v>0</v>
      </c>
      <c r="M136" s="88">
        <f>SUM(Table19[[#This Row],[Intra-school sports 1]:[Intra-school sports 50]])</f>
        <v>0</v>
      </c>
      <c r="N136" s="88">
        <f>SUM(Table19[[#This Row],[Inter School sports 1]:[Inter School sports 50]])</f>
        <v>0</v>
      </c>
      <c r="O136" s="17">
        <f>COUNTIF(Table19[[#This Row],[Community club (type name of club(s). All clubs will count as ''1'']],"*")</f>
        <v>0</v>
      </c>
      <c r="P136" s="17">
        <f>IF(OR(Table19[[#This Row],[Total Challenges]]&gt;0,Table19[[#This Row],[Total Ex-C Clubs]]&gt;0,Table19[[#This Row],[Total Intra-School Sports]]&gt;0,Table19[[#This Row],[Total Inter-School Sports]]&gt;0,Table19[[#This Row],[Community Clubs]]&gt;0),1,0)</f>
        <v>0</v>
      </c>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21"/>
    </row>
    <row r="137" spans="1:218" x14ac:dyDescent="0.25">
      <c r="A137" s="17"/>
      <c r="B137" s="17"/>
      <c r="C137" s="17"/>
      <c r="D137" s="17"/>
      <c r="E137" s="17"/>
      <c r="F137" s="17"/>
      <c r="G137" s="17"/>
      <c r="H137" s="17"/>
      <c r="I137" s="17"/>
      <c r="J137" s="17"/>
      <c r="K137" s="17">
        <f>SUM(Table19[[#This Row],[Challenge 1]:[Challenge 50]])</f>
        <v>0</v>
      </c>
      <c r="L137" s="88">
        <f>SUM(Table19[[#This Row],[Club 1]:[Club 50]])</f>
        <v>0</v>
      </c>
      <c r="M137" s="88">
        <f>SUM(Table19[[#This Row],[Intra-school sports 1]:[Intra-school sports 50]])</f>
        <v>0</v>
      </c>
      <c r="N137" s="88">
        <f>SUM(Table19[[#This Row],[Inter School sports 1]:[Inter School sports 50]])</f>
        <v>0</v>
      </c>
      <c r="O137" s="17">
        <f>COUNTIF(Table19[[#This Row],[Community club (type name of club(s). All clubs will count as ''1'']],"*")</f>
        <v>0</v>
      </c>
      <c r="P137" s="17">
        <f>IF(OR(Table19[[#This Row],[Total Challenges]]&gt;0,Table19[[#This Row],[Total Ex-C Clubs]]&gt;0,Table19[[#This Row],[Total Intra-School Sports]]&gt;0,Table19[[#This Row],[Total Inter-School Sports]]&gt;0,Table19[[#This Row],[Community Clubs]]&gt;0),1,0)</f>
        <v>0</v>
      </c>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21"/>
    </row>
    <row r="138" spans="1:218" x14ac:dyDescent="0.25">
      <c r="A138" s="17"/>
      <c r="B138" s="17"/>
      <c r="C138" s="17"/>
      <c r="D138" s="17"/>
      <c r="E138" s="17"/>
      <c r="F138" s="17"/>
      <c r="G138" s="17"/>
      <c r="H138" s="17"/>
      <c r="I138" s="17"/>
      <c r="J138" s="17"/>
      <c r="K138" s="17">
        <f>SUM(Table19[[#This Row],[Challenge 1]:[Challenge 50]])</f>
        <v>0</v>
      </c>
      <c r="L138" s="88">
        <f>SUM(Table19[[#This Row],[Club 1]:[Club 50]])</f>
        <v>0</v>
      </c>
      <c r="M138" s="88">
        <f>SUM(Table19[[#This Row],[Intra-school sports 1]:[Intra-school sports 50]])</f>
        <v>0</v>
      </c>
      <c r="N138" s="88">
        <f>SUM(Table19[[#This Row],[Inter School sports 1]:[Inter School sports 50]])</f>
        <v>0</v>
      </c>
      <c r="O138" s="17">
        <f>COUNTIF(Table19[[#This Row],[Community club (type name of club(s). All clubs will count as ''1'']],"*")</f>
        <v>0</v>
      </c>
      <c r="P138" s="17">
        <f>IF(OR(Table19[[#This Row],[Total Challenges]]&gt;0,Table19[[#This Row],[Total Ex-C Clubs]]&gt;0,Table19[[#This Row],[Total Intra-School Sports]]&gt;0,Table19[[#This Row],[Total Inter-School Sports]]&gt;0,Table19[[#This Row],[Community Clubs]]&gt;0),1,0)</f>
        <v>0</v>
      </c>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21"/>
    </row>
    <row r="139" spans="1:218" x14ac:dyDescent="0.25">
      <c r="A139" s="17"/>
      <c r="B139" s="17"/>
      <c r="C139" s="17"/>
      <c r="D139" s="17"/>
      <c r="E139" s="17"/>
      <c r="F139" s="17"/>
      <c r="G139" s="17"/>
      <c r="H139" s="17"/>
      <c r="I139" s="17"/>
      <c r="J139" s="17"/>
      <c r="K139" s="17">
        <f>SUM(Table19[[#This Row],[Challenge 1]:[Challenge 50]])</f>
        <v>0</v>
      </c>
      <c r="L139" s="88">
        <f>SUM(Table19[[#This Row],[Club 1]:[Club 50]])</f>
        <v>0</v>
      </c>
      <c r="M139" s="88">
        <f>SUM(Table19[[#This Row],[Intra-school sports 1]:[Intra-school sports 50]])</f>
        <v>0</v>
      </c>
      <c r="N139" s="88">
        <f>SUM(Table19[[#This Row],[Inter School sports 1]:[Inter School sports 50]])</f>
        <v>0</v>
      </c>
      <c r="O139" s="17">
        <f>COUNTIF(Table19[[#This Row],[Community club (type name of club(s). All clubs will count as ''1'']],"*")</f>
        <v>0</v>
      </c>
      <c r="P139" s="17">
        <f>IF(OR(Table19[[#This Row],[Total Challenges]]&gt;0,Table19[[#This Row],[Total Ex-C Clubs]]&gt;0,Table19[[#This Row],[Total Intra-School Sports]]&gt;0,Table19[[#This Row],[Total Inter-School Sports]]&gt;0,Table19[[#This Row],[Community Clubs]]&gt;0),1,0)</f>
        <v>0</v>
      </c>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21"/>
    </row>
    <row r="140" spans="1:218" x14ac:dyDescent="0.25">
      <c r="A140" s="17"/>
      <c r="B140" s="17"/>
      <c r="C140" s="17"/>
      <c r="D140" s="17"/>
      <c r="E140" s="17"/>
      <c r="F140" s="17"/>
      <c r="G140" s="17"/>
      <c r="H140" s="17"/>
      <c r="I140" s="17"/>
      <c r="J140" s="17"/>
      <c r="K140" s="17">
        <f>SUM(Table19[[#This Row],[Challenge 1]:[Challenge 50]])</f>
        <v>0</v>
      </c>
      <c r="L140" s="88">
        <f>SUM(Table19[[#This Row],[Club 1]:[Club 50]])</f>
        <v>0</v>
      </c>
      <c r="M140" s="88">
        <f>SUM(Table19[[#This Row],[Intra-school sports 1]:[Intra-school sports 50]])</f>
        <v>0</v>
      </c>
      <c r="N140" s="88">
        <f>SUM(Table19[[#This Row],[Inter School sports 1]:[Inter School sports 50]])</f>
        <v>0</v>
      </c>
      <c r="O140" s="17">
        <f>COUNTIF(Table19[[#This Row],[Community club (type name of club(s). All clubs will count as ''1'']],"*")</f>
        <v>0</v>
      </c>
      <c r="P140" s="17">
        <f>IF(OR(Table19[[#This Row],[Total Challenges]]&gt;0,Table19[[#This Row],[Total Ex-C Clubs]]&gt;0,Table19[[#This Row],[Total Intra-School Sports]]&gt;0,Table19[[#This Row],[Total Inter-School Sports]]&gt;0,Table19[[#This Row],[Community Clubs]]&gt;0),1,0)</f>
        <v>0</v>
      </c>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21"/>
    </row>
    <row r="141" spans="1:218" x14ac:dyDescent="0.25">
      <c r="A141" s="17"/>
      <c r="B141" s="17"/>
      <c r="C141" s="17"/>
      <c r="D141" s="17"/>
      <c r="E141" s="17"/>
      <c r="F141" s="17"/>
      <c r="G141" s="17"/>
      <c r="H141" s="17"/>
      <c r="I141" s="17"/>
      <c r="J141" s="17"/>
      <c r="K141" s="17">
        <f>SUM(Table19[[#This Row],[Challenge 1]:[Challenge 50]])</f>
        <v>0</v>
      </c>
      <c r="L141" s="88">
        <f>SUM(Table19[[#This Row],[Club 1]:[Club 50]])</f>
        <v>0</v>
      </c>
      <c r="M141" s="88">
        <f>SUM(Table19[[#This Row],[Intra-school sports 1]:[Intra-school sports 50]])</f>
        <v>0</v>
      </c>
      <c r="N141" s="88">
        <f>SUM(Table19[[#This Row],[Inter School sports 1]:[Inter School sports 50]])</f>
        <v>0</v>
      </c>
      <c r="O141" s="17">
        <f>COUNTIF(Table19[[#This Row],[Community club (type name of club(s). All clubs will count as ''1'']],"*")</f>
        <v>0</v>
      </c>
      <c r="P141" s="17">
        <f>IF(OR(Table19[[#This Row],[Total Challenges]]&gt;0,Table19[[#This Row],[Total Ex-C Clubs]]&gt;0,Table19[[#This Row],[Total Intra-School Sports]]&gt;0,Table19[[#This Row],[Total Inter-School Sports]]&gt;0,Table19[[#This Row],[Community Clubs]]&gt;0),1,0)</f>
        <v>0</v>
      </c>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21"/>
    </row>
    <row r="142" spans="1:218" x14ac:dyDescent="0.25">
      <c r="A142" s="17"/>
      <c r="B142" s="17"/>
      <c r="C142" s="17"/>
      <c r="D142" s="17"/>
      <c r="E142" s="17"/>
      <c r="F142" s="17"/>
      <c r="G142" s="17"/>
      <c r="H142" s="17"/>
      <c r="I142" s="17"/>
      <c r="J142" s="17"/>
      <c r="K142" s="17">
        <f>SUM(Table19[[#This Row],[Challenge 1]:[Challenge 50]])</f>
        <v>0</v>
      </c>
      <c r="L142" s="88">
        <f>SUM(Table19[[#This Row],[Club 1]:[Club 50]])</f>
        <v>0</v>
      </c>
      <c r="M142" s="88">
        <f>SUM(Table19[[#This Row],[Intra-school sports 1]:[Intra-school sports 50]])</f>
        <v>0</v>
      </c>
      <c r="N142" s="88">
        <f>SUM(Table19[[#This Row],[Inter School sports 1]:[Inter School sports 50]])</f>
        <v>0</v>
      </c>
      <c r="O142" s="17">
        <f>COUNTIF(Table19[[#This Row],[Community club (type name of club(s). All clubs will count as ''1'']],"*")</f>
        <v>0</v>
      </c>
      <c r="P142" s="17">
        <f>IF(OR(Table19[[#This Row],[Total Challenges]]&gt;0,Table19[[#This Row],[Total Ex-C Clubs]]&gt;0,Table19[[#This Row],[Total Intra-School Sports]]&gt;0,Table19[[#This Row],[Total Inter-School Sports]]&gt;0,Table19[[#This Row],[Community Clubs]]&gt;0),1,0)</f>
        <v>0</v>
      </c>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21"/>
    </row>
    <row r="143" spans="1:218" x14ac:dyDescent="0.25">
      <c r="A143" s="17"/>
      <c r="B143" s="17"/>
      <c r="C143" s="17"/>
      <c r="D143" s="17"/>
      <c r="E143" s="17"/>
      <c r="F143" s="17"/>
      <c r="G143" s="17"/>
      <c r="H143" s="17"/>
      <c r="I143" s="17"/>
      <c r="J143" s="17"/>
      <c r="K143" s="17">
        <f>SUM(Table19[[#This Row],[Challenge 1]:[Challenge 50]])</f>
        <v>0</v>
      </c>
      <c r="L143" s="88">
        <f>SUM(Table19[[#This Row],[Club 1]:[Club 50]])</f>
        <v>0</v>
      </c>
      <c r="M143" s="88">
        <f>SUM(Table19[[#This Row],[Intra-school sports 1]:[Intra-school sports 50]])</f>
        <v>0</v>
      </c>
      <c r="N143" s="88">
        <f>SUM(Table19[[#This Row],[Inter School sports 1]:[Inter School sports 50]])</f>
        <v>0</v>
      </c>
      <c r="O143" s="17">
        <f>COUNTIF(Table19[[#This Row],[Community club (type name of club(s). All clubs will count as ''1'']],"*")</f>
        <v>0</v>
      </c>
      <c r="P143" s="17">
        <f>IF(OR(Table19[[#This Row],[Total Challenges]]&gt;0,Table19[[#This Row],[Total Ex-C Clubs]]&gt;0,Table19[[#This Row],[Total Intra-School Sports]]&gt;0,Table19[[#This Row],[Total Inter-School Sports]]&gt;0,Table19[[#This Row],[Community Clubs]]&gt;0),1,0)</f>
        <v>0</v>
      </c>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21"/>
    </row>
    <row r="144" spans="1:218" x14ac:dyDescent="0.25">
      <c r="A144" s="17"/>
      <c r="B144" s="17"/>
      <c r="C144" s="17"/>
      <c r="D144" s="17"/>
      <c r="E144" s="17"/>
      <c r="F144" s="17"/>
      <c r="G144" s="17"/>
      <c r="H144" s="17"/>
      <c r="I144" s="17"/>
      <c r="J144" s="17"/>
      <c r="K144" s="17">
        <f>SUM(Table19[[#This Row],[Challenge 1]:[Challenge 50]])</f>
        <v>0</v>
      </c>
      <c r="L144" s="88">
        <f>SUM(Table19[[#This Row],[Club 1]:[Club 50]])</f>
        <v>0</v>
      </c>
      <c r="M144" s="88">
        <f>SUM(Table19[[#This Row],[Intra-school sports 1]:[Intra-school sports 50]])</f>
        <v>0</v>
      </c>
      <c r="N144" s="88">
        <f>SUM(Table19[[#This Row],[Inter School sports 1]:[Inter School sports 50]])</f>
        <v>0</v>
      </c>
      <c r="O144" s="17">
        <f>COUNTIF(Table19[[#This Row],[Community club (type name of club(s). All clubs will count as ''1'']],"*")</f>
        <v>0</v>
      </c>
      <c r="P144" s="17">
        <f>IF(OR(Table19[[#This Row],[Total Challenges]]&gt;0,Table19[[#This Row],[Total Ex-C Clubs]]&gt;0,Table19[[#This Row],[Total Intra-School Sports]]&gt;0,Table19[[#This Row],[Total Inter-School Sports]]&gt;0,Table19[[#This Row],[Community Clubs]]&gt;0),1,0)</f>
        <v>0</v>
      </c>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21"/>
    </row>
    <row r="145" spans="1:218" x14ac:dyDescent="0.25">
      <c r="A145" s="17"/>
      <c r="B145" s="17"/>
      <c r="C145" s="17"/>
      <c r="D145" s="17"/>
      <c r="E145" s="17"/>
      <c r="F145" s="17"/>
      <c r="G145" s="17"/>
      <c r="H145" s="17"/>
      <c r="I145" s="17"/>
      <c r="J145" s="17"/>
      <c r="K145" s="17">
        <f>SUM(Table19[[#This Row],[Challenge 1]:[Challenge 50]])</f>
        <v>0</v>
      </c>
      <c r="L145" s="88">
        <f>SUM(Table19[[#This Row],[Club 1]:[Club 50]])</f>
        <v>0</v>
      </c>
      <c r="M145" s="88">
        <f>SUM(Table19[[#This Row],[Intra-school sports 1]:[Intra-school sports 50]])</f>
        <v>0</v>
      </c>
      <c r="N145" s="88">
        <f>SUM(Table19[[#This Row],[Inter School sports 1]:[Inter School sports 50]])</f>
        <v>0</v>
      </c>
      <c r="O145" s="17">
        <f>COUNTIF(Table19[[#This Row],[Community club (type name of club(s). All clubs will count as ''1'']],"*")</f>
        <v>0</v>
      </c>
      <c r="P145" s="17">
        <f>IF(OR(Table19[[#This Row],[Total Challenges]]&gt;0,Table19[[#This Row],[Total Ex-C Clubs]]&gt;0,Table19[[#This Row],[Total Intra-School Sports]]&gt;0,Table19[[#This Row],[Total Inter-School Sports]]&gt;0,Table19[[#This Row],[Community Clubs]]&gt;0),1,0)</f>
        <v>0</v>
      </c>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21"/>
    </row>
    <row r="146" spans="1:218" x14ac:dyDescent="0.25">
      <c r="A146" s="17"/>
      <c r="B146" s="17"/>
      <c r="C146" s="17"/>
      <c r="D146" s="17"/>
      <c r="E146" s="17"/>
      <c r="F146" s="17"/>
      <c r="G146" s="17"/>
      <c r="H146" s="17"/>
      <c r="I146" s="17"/>
      <c r="J146" s="17"/>
      <c r="K146" s="17">
        <f>SUM(Table19[[#This Row],[Challenge 1]:[Challenge 50]])</f>
        <v>0</v>
      </c>
      <c r="L146" s="88">
        <f>SUM(Table19[[#This Row],[Club 1]:[Club 50]])</f>
        <v>0</v>
      </c>
      <c r="M146" s="88">
        <f>SUM(Table19[[#This Row],[Intra-school sports 1]:[Intra-school sports 50]])</f>
        <v>0</v>
      </c>
      <c r="N146" s="88">
        <f>SUM(Table19[[#This Row],[Inter School sports 1]:[Inter School sports 50]])</f>
        <v>0</v>
      </c>
      <c r="O146" s="17">
        <f>COUNTIF(Table19[[#This Row],[Community club (type name of club(s). All clubs will count as ''1'']],"*")</f>
        <v>0</v>
      </c>
      <c r="P146" s="17">
        <f>IF(OR(Table19[[#This Row],[Total Challenges]]&gt;0,Table19[[#This Row],[Total Ex-C Clubs]]&gt;0,Table19[[#This Row],[Total Intra-School Sports]]&gt;0,Table19[[#This Row],[Total Inter-School Sports]]&gt;0,Table19[[#This Row],[Community Clubs]]&gt;0),1,0)</f>
        <v>0</v>
      </c>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21"/>
    </row>
    <row r="147" spans="1:218" x14ac:dyDescent="0.25">
      <c r="A147" s="17"/>
      <c r="B147" s="17"/>
      <c r="C147" s="17"/>
      <c r="D147" s="17"/>
      <c r="E147" s="17"/>
      <c r="F147" s="17"/>
      <c r="G147" s="17"/>
      <c r="H147" s="17"/>
      <c r="I147" s="17"/>
      <c r="J147" s="17"/>
      <c r="K147" s="17">
        <f>SUM(Table19[[#This Row],[Challenge 1]:[Challenge 50]])</f>
        <v>0</v>
      </c>
      <c r="L147" s="88">
        <f>SUM(Table19[[#This Row],[Club 1]:[Club 50]])</f>
        <v>0</v>
      </c>
      <c r="M147" s="88">
        <f>SUM(Table19[[#This Row],[Intra-school sports 1]:[Intra-school sports 50]])</f>
        <v>0</v>
      </c>
      <c r="N147" s="88">
        <f>SUM(Table19[[#This Row],[Inter School sports 1]:[Inter School sports 50]])</f>
        <v>0</v>
      </c>
      <c r="O147" s="17">
        <f>COUNTIF(Table19[[#This Row],[Community club (type name of club(s). All clubs will count as ''1'']],"*")</f>
        <v>0</v>
      </c>
      <c r="P147" s="17">
        <f>IF(OR(Table19[[#This Row],[Total Challenges]]&gt;0,Table19[[#This Row],[Total Ex-C Clubs]]&gt;0,Table19[[#This Row],[Total Intra-School Sports]]&gt;0,Table19[[#This Row],[Total Inter-School Sports]]&gt;0,Table19[[#This Row],[Community Clubs]]&gt;0),1,0)</f>
        <v>0</v>
      </c>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21"/>
    </row>
    <row r="148" spans="1:218" x14ac:dyDescent="0.25">
      <c r="A148" s="17"/>
      <c r="B148" s="17"/>
      <c r="C148" s="17"/>
      <c r="D148" s="17"/>
      <c r="E148" s="17"/>
      <c r="F148" s="17"/>
      <c r="G148" s="17"/>
      <c r="H148" s="17"/>
      <c r="I148" s="17"/>
      <c r="J148" s="17"/>
      <c r="K148" s="17">
        <f>SUM(Table19[[#This Row],[Challenge 1]:[Challenge 50]])</f>
        <v>0</v>
      </c>
      <c r="L148" s="88">
        <f>SUM(Table19[[#This Row],[Club 1]:[Club 50]])</f>
        <v>0</v>
      </c>
      <c r="M148" s="88">
        <f>SUM(Table19[[#This Row],[Intra-school sports 1]:[Intra-school sports 50]])</f>
        <v>0</v>
      </c>
      <c r="N148" s="88">
        <f>SUM(Table19[[#This Row],[Inter School sports 1]:[Inter School sports 50]])</f>
        <v>0</v>
      </c>
      <c r="O148" s="17">
        <f>COUNTIF(Table19[[#This Row],[Community club (type name of club(s). All clubs will count as ''1'']],"*")</f>
        <v>0</v>
      </c>
      <c r="P148" s="17">
        <f>IF(OR(Table19[[#This Row],[Total Challenges]]&gt;0,Table19[[#This Row],[Total Ex-C Clubs]]&gt;0,Table19[[#This Row],[Total Intra-School Sports]]&gt;0,Table19[[#This Row],[Total Inter-School Sports]]&gt;0,Table19[[#This Row],[Community Clubs]]&gt;0),1,0)</f>
        <v>0</v>
      </c>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21"/>
    </row>
    <row r="149" spans="1:218" x14ac:dyDescent="0.25">
      <c r="A149" s="17"/>
      <c r="B149" s="17"/>
      <c r="C149" s="17"/>
      <c r="D149" s="17"/>
      <c r="E149" s="17"/>
      <c r="F149" s="17"/>
      <c r="G149" s="17"/>
      <c r="H149" s="17"/>
      <c r="I149" s="17"/>
      <c r="J149" s="17"/>
      <c r="K149" s="17">
        <f>SUM(Table19[[#This Row],[Challenge 1]:[Challenge 50]])</f>
        <v>0</v>
      </c>
      <c r="L149" s="88">
        <f>SUM(Table19[[#This Row],[Club 1]:[Club 50]])</f>
        <v>0</v>
      </c>
      <c r="M149" s="88">
        <f>SUM(Table19[[#This Row],[Intra-school sports 1]:[Intra-school sports 50]])</f>
        <v>0</v>
      </c>
      <c r="N149" s="88">
        <f>SUM(Table19[[#This Row],[Inter School sports 1]:[Inter School sports 50]])</f>
        <v>0</v>
      </c>
      <c r="O149" s="17">
        <f>COUNTIF(Table19[[#This Row],[Community club (type name of club(s). All clubs will count as ''1'']],"*")</f>
        <v>0</v>
      </c>
      <c r="P149" s="17">
        <f>IF(OR(Table19[[#This Row],[Total Challenges]]&gt;0,Table19[[#This Row],[Total Ex-C Clubs]]&gt;0,Table19[[#This Row],[Total Intra-School Sports]]&gt;0,Table19[[#This Row],[Total Inter-School Sports]]&gt;0,Table19[[#This Row],[Community Clubs]]&gt;0),1,0)</f>
        <v>0</v>
      </c>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21"/>
    </row>
    <row r="150" spans="1:218" x14ac:dyDescent="0.25">
      <c r="A150" s="17"/>
      <c r="B150" s="17"/>
      <c r="C150" s="17"/>
      <c r="D150" s="17"/>
      <c r="E150" s="17"/>
      <c r="F150" s="17"/>
      <c r="G150" s="17"/>
      <c r="H150" s="17"/>
      <c r="I150" s="17"/>
      <c r="J150" s="17"/>
      <c r="K150" s="17">
        <f>SUM(Table19[[#This Row],[Challenge 1]:[Challenge 50]])</f>
        <v>0</v>
      </c>
      <c r="L150" s="88">
        <f>SUM(Table19[[#This Row],[Club 1]:[Club 50]])</f>
        <v>0</v>
      </c>
      <c r="M150" s="88">
        <f>SUM(Table19[[#This Row],[Intra-school sports 1]:[Intra-school sports 50]])</f>
        <v>0</v>
      </c>
      <c r="N150" s="88">
        <f>SUM(Table19[[#This Row],[Inter School sports 1]:[Inter School sports 50]])</f>
        <v>0</v>
      </c>
      <c r="O150" s="17">
        <f>COUNTIF(Table19[[#This Row],[Community club (type name of club(s). All clubs will count as ''1'']],"*")</f>
        <v>0</v>
      </c>
      <c r="P150" s="17">
        <f>IF(OR(Table19[[#This Row],[Total Challenges]]&gt;0,Table19[[#This Row],[Total Ex-C Clubs]]&gt;0,Table19[[#This Row],[Total Intra-School Sports]]&gt;0,Table19[[#This Row],[Total Inter-School Sports]]&gt;0,Table19[[#This Row],[Community Clubs]]&gt;0),1,0)</f>
        <v>0</v>
      </c>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21"/>
    </row>
    <row r="151" spans="1:218" x14ac:dyDescent="0.25">
      <c r="A151" s="17"/>
      <c r="B151" s="17"/>
      <c r="C151" s="17"/>
      <c r="D151" s="17"/>
      <c r="E151" s="17"/>
      <c r="F151" s="17"/>
      <c r="G151" s="17"/>
      <c r="H151" s="17"/>
      <c r="I151" s="17"/>
      <c r="J151" s="17"/>
      <c r="K151" s="17">
        <f>SUM(Table19[[#This Row],[Challenge 1]:[Challenge 50]])</f>
        <v>0</v>
      </c>
      <c r="L151" s="88">
        <f>SUM(Table19[[#This Row],[Club 1]:[Club 50]])</f>
        <v>0</v>
      </c>
      <c r="M151" s="88">
        <f>SUM(Table19[[#This Row],[Intra-school sports 1]:[Intra-school sports 50]])</f>
        <v>0</v>
      </c>
      <c r="N151" s="88">
        <f>SUM(Table19[[#This Row],[Inter School sports 1]:[Inter School sports 50]])</f>
        <v>0</v>
      </c>
      <c r="O151" s="17">
        <f>COUNTIF(Table19[[#This Row],[Community club (type name of club(s). All clubs will count as ''1'']],"*")</f>
        <v>0</v>
      </c>
      <c r="P151" s="17">
        <f>IF(OR(Table19[[#This Row],[Total Challenges]]&gt;0,Table19[[#This Row],[Total Ex-C Clubs]]&gt;0,Table19[[#This Row],[Total Intra-School Sports]]&gt;0,Table19[[#This Row],[Total Inter-School Sports]]&gt;0,Table19[[#This Row],[Community Clubs]]&gt;0),1,0)</f>
        <v>0</v>
      </c>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21"/>
    </row>
    <row r="152" spans="1:218" x14ac:dyDescent="0.25">
      <c r="A152" s="17"/>
      <c r="B152" s="17"/>
      <c r="C152" s="17"/>
      <c r="D152" s="17"/>
      <c r="E152" s="17"/>
      <c r="F152" s="17"/>
      <c r="G152" s="17"/>
      <c r="H152" s="17"/>
      <c r="I152" s="17"/>
      <c r="J152" s="17"/>
      <c r="K152" s="17">
        <f>SUM(Table19[[#This Row],[Challenge 1]:[Challenge 50]])</f>
        <v>0</v>
      </c>
      <c r="L152" s="88">
        <f>SUM(Table19[[#This Row],[Club 1]:[Club 50]])</f>
        <v>0</v>
      </c>
      <c r="M152" s="88">
        <f>SUM(Table19[[#This Row],[Intra-school sports 1]:[Intra-school sports 50]])</f>
        <v>0</v>
      </c>
      <c r="N152" s="88">
        <f>SUM(Table19[[#This Row],[Inter School sports 1]:[Inter School sports 50]])</f>
        <v>0</v>
      </c>
      <c r="O152" s="17">
        <f>COUNTIF(Table19[[#This Row],[Community club (type name of club(s). All clubs will count as ''1'']],"*")</f>
        <v>0</v>
      </c>
      <c r="P152" s="17">
        <f>IF(OR(Table19[[#This Row],[Total Challenges]]&gt;0,Table19[[#This Row],[Total Ex-C Clubs]]&gt;0,Table19[[#This Row],[Total Intra-School Sports]]&gt;0,Table19[[#This Row],[Total Inter-School Sports]]&gt;0,Table19[[#This Row],[Community Clubs]]&gt;0),1,0)</f>
        <v>0</v>
      </c>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21"/>
    </row>
    <row r="153" spans="1:218" x14ac:dyDescent="0.25">
      <c r="A153" s="17"/>
      <c r="B153" s="17"/>
      <c r="C153" s="17"/>
      <c r="D153" s="17"/>
      <c r="E153" s="17"/>
      <c r="F153" s="17"/>
      <c r="G153" s="17"/>
      <c r="H153" s="17"/>
      <c r="I153" s="17"/>
      <c r="J153" s="17"/>
      <c r="K153" s="17">
        <f>SUM(Table19[[#This Row],[Challenge 1]:[Challenge 50]])</f>
        <v>0</v>
      </c>
      <c r="L153" s="88">
        <f>SUM(Table19[[#This Row],[Club 1]:[Club 50]])</f>
        <v>0</v>
      </c>
      <c r="M153" s="88">
        <f>SUM(Table19[[#This Row],[Intra-school sports 1]:[Intra-school sports 50]])</f>
        <v>0</v>
      </c>
      <c r="N153" s="88">
        <f>SUM(Table19[[#This Row],[Inter School sports 1]:[Inter School sports 50]])</f>
        <v>0</v>
      </c>
      <c r="O153" s="17">
        <f>COUNTIF(Table19[[#This Row],[Community club (type name of club(s). All clubs will count as ''1'']],"*")</f>
        <v>0</v>
      </c>
      <c r="P153" s="17">
        <f>IF(OR(Table19[[#This Row],[Total Challenges]]&gt;0,Table19[[#This Row],[Total Ex-C Clubs]]&gt;0,Table19[[#This Row],[Total Intra-School Sports]]&gt;0,Table19[[#This Row],[Total Inter-School Sports]]&gt;0,Table19[[#This Row],[Community Clubs]]&gt;0),1,0)</f>
        <v>0</v>
      </c>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21"/>
    </row>
    <row r="154" spans="1:218" x14ac:dyDescent="0.25">
      <c r="A154" s="17"/>
      <c r="B154" s="17"/>
      <c r="C154" s="17"/>
      <c r="D154" s="17"/>
      <c r="E154" s="17"/>
      <c r="F154" s="17"/>
      <c r="G154" s="17"/>
      <c r="H154" s="17"/>
      <c r="I154" s="17"/>
      <c r="J154" s="17"/>
      <c r="K154" s="17">
        <f>SUM(Table19[[#This Row],[Challenge 1]:[Challenge 50]])</f>
        <v>0</v>
      </c>
      <c r="L154" s="88">
        <f>SUM(Table19[[#This Row],[Club 1]:[Club 50]])</f>
        <v>0</v>
      </c>
      <c r="M154" s="88">
        <f>SUM(Table19[[#This Row],[Intra-school sports 1]:[Intra-school sports 50]])</f>
        <v>0</v>
      </c>
      <c r="N154" s="88">
        <f>SUM(Table19[[#This Row],[Inter School sports 1]:[Inter School sports 50]])</f>
        <v>0</v>
      </c>
      <c r="O154" s="17">
        <f>COUNTIF(Table19[[#This Row],[Community club (type name of club(s). All clubs will count as ''1'']],"*")</f>
        <v>0</v>
      </c>
      <c r="P154" s="17">
        <f>IF(OR(Table19[[#This Row],[Total Challenges]]&gt;0,Table19[[#This Row],[Total Ex-C Clubs]]&gt;0,Table19[[#This Row],[Total Intra-School Sports]]&gt;0,Table19[[#This Row],[Total Inter-School Sports]]&gt;0,Table19[[#This Row],[Community Clubs]]&gt;0),1,0)</f>
        <v>0</v>
      </c>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21"/>
    </row>
    <row r="155" spans="1:218" x14ac:dyDescent="0.25">
      <c r="A155" s="17"/>
      <c r="B155" s="17"/>
      <c r="C155" s="17"/>
      <c r="D155" s="17"/>
      <c r="E155" s="17"/>
      <c r="F155" s="17"/>
      <c r="G155" s="17"/>
      <c r="H155" s="17"/>
      <c r="I155" s="17"/>
      <c r="J155" s="17"/>
      <c r="K155" s="17">
        <f>SUM(Table19[[#This Row],[Challenge 1]:[Challenge 50]])</f>
        <v>0</v>
      </c>
      <c r="L155" s="88">
        <f>SUM(Table19[[#This Row],[Club 1]:[Club 50]])</f>
        <v>0</v>
      </c>
      <c r="M155" s="88">
        <f>SUM(Table19[[#This Row],[Intra-school sports 1]:[Intra-school sports 50]])</f>
        <v>0</v>
      </c>
      <c r="N155" s="88">
        <f>SUM(Table19[[#This Row],[Inter School sports 1]:[Inter School sports 50]])</f>
        <v>0</v>
      </c>
      <c r="O155" s="17">
        <f>COUNTIF(Table19[[#This Row],[Community club (type name of club(s). All clubs will count as ''1'']],"*")</f>
        <v>0</v>
      </c>
      <c r="P155" s="17">
        <f>IF(OR(Table19[[#This Row],[Total Challenges]]&gt;0,Table19[[#This Row],[Total Ex-C Clubs]]&gt;0,Table19[[#This Row],[Total Intra-School Sports]]&gt;0,Table19[[#This Row],[Total Inter-School Sports]]&gt;0,Table19[[#This Row],[Community Clubs]]&gt;0),1,0)</f>
        <v>0</v>
      </c>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21"/>
    </row>
    <row r="156" spans="1:218" x14ac:dyDescent="0.25">
      <c r="A156" s="17"/>
      <c r="B156" s="17"/>
      <c r="C156" s="17"/>
      <c r="D156" s="17"/>
      <c r="E156" s="17"/>
      <c r="F156" s="17"/>
      <c r="G156" s="17"/>
      <c r="H156" s="17"/>
      <c r="I156" s="17"/>
      <c r="J156" s="17"/>
      <c r="K156" s="17">
        <f>SUM(Table19[[#This Row],[Challenge 1]:[Challenge 50]])</f>
        <v>0</v>
      </c>
      <c r="L156" s="88">
        <f>SUM(Table19[[#This Row],[Club 1]:[Club 50]])</f>
        <v>0</v>
      </c>
      <c r="M156" s="88">
        <f>SUM(Table19[[#This Row],[Intra-school sports 1]:[Intra-school sports 50]])</f>
        <v>0</v>
      </c>
      <c r="N156" s="88">
        <f>SUM(Table19[[#This Row],[Inter School sports 1]:[Inter School sports 50]])</f>
        <v>0</v>
      </c>
      <c r="O156" s="17">
        <f>COUNTIF(Table19[[#This Row],[Community club (type name of club(s). All clubs will count as ''1'']],"*")</f>
        <v>0</v>
      </c>
      <c r="P156" s="17">
        <f>IF(OR(Table19[[#This Row],[Total Challenges]]&gt;0,Table19[[#This Row],[Total Ex-C Clubs]]&gt;0,Table19[[#This Row],[Total Intra-School Sports]]&gt;0,Table19[[#This Row],[Total Inter-School Sports]]&gt;0,Table19[[#This Row],[Community Clubs]]&gt;0),1,0)</f>
        <v>0</v>
      </c>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21"/>
    </row>
    <row r="157" spans="1:218" x14ac:dyDescent="0.25">
      <c r="A157" s="17"/>
      <c r="B157" s="17"/>
      <c r="C157" s="17"/>
      <c r="D157" s="17"/>
      <c r="E157" s="17"/>
      <c r="F157" s="17"/>
      <c r="G157" s="17"/>
      <c r="H157" s="17"/>
      <c r="I157" s="17"/>
      <c r="J157" s="17"/>
      <c r="K157" s="17">
        <f>SUM(Table19[[#This Row],[Challenge 1]:[Challenge 50]])</f>
        <v>0</v>
      </c>
      <c r="L157" s="88">
        <f>SUM(Table19[[#This Row],[Club 1]:[Club 50]])</f>
        <v>0</v>
      </c>
      <c r="M157" s="88">
        <f>SUM(Table19[[#This Row],[Intra-school sports 1]:[Intra-school sports 50]])</f>
        <v>0</v>
      </c>
      <c r="N157" s="88">
        <f>SUM(Table19[[#This Row],[Inter School sports 1]:[Inter School sports 50]])</f>
        <v>0</v>
      </c>
      <c r="O157" s="17">
        <f>COUNTIF(Table19[[#This Row],[Community club (type name of club(s). All clubs will count as ''1'']],"*")</f>
        <v>0</v>
      </c>
      <c r="P157" s="17">
        <f>IF(OR(Table19[[#This Row],[Total Challenges]]&gt;0,Table19[[#This Row],[Total Ex-C Clubs]]&gt;0,Table19[[#This Row],[Total Intra-School Sports]]&gt;0,Table19[[#This Row],[Total Inter-School Sports]]&gt;0,Table19[[#This Row],[Community Clubs]]&gt;0),1,0)</f>
        <v>0</v>
      </c>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21"/>
    </row>
    <row r="158" spans="1:218" x14ac:dyDescent="0.25">
      <c r="A158" s="17"/>
      <c r="B158" s="17"/>
      <c r="C158" s="17"/>
      <c r="D158" s="17"/>
      <c r="E158" s="17"/>
      <c r="F158" s="17"/>
      <c r="G158" s="17"/>
      <c r="H158" s="17"/>
      <c r="I158" s="17"/>
      <c r="J158" s="17"/>
      <c r="K158" s="17">
        <f>SUM(Table19[[#This Row],[Challenge 1]:[Challenge 50]])</f>
        <v>0</v>
      </c>
      <c r="L158" s="88">
        <f>SUM(Table19[[#This Row],[Club 1]:[Club 50]])</f>
        <v>0</v>
      </c>
      <c r="M158" s="88">
        <f>SUM(Table19[[#This Row],[Intra-school sports 1]:[Intra-school sports 50]])</f>
        <v>0</v>
      </c>
      <c r="N158" s="88">
        <f>SUM(Table19[[#This Row],[Inter School sports 1]:[Inter School sports 50]])</f>
        <v>0</v>
      </c>
      <c r="O158" s="17">
        <f>COUNTIF(Table19[[#This Row],[Community club (type name of club(s). All clubs will count as ''1'']],"*")</f>
        <v>0</v>
      </c>
      <c r="P158" s="17">
        <f>IF(OR(Table19[[#This Row],[Total Challenges]]&gt;0,Table19[[#This Row],[Total Ex-C Clubs]]&gt;0,Table19[[#This Row],[Total Intra-School Sports]]&gt;0,Table19[[#This Row],[Total Inter-School Sports]]&gt;0,Table19[[#This Row],[Community Clubs]]&gt;0),1,0)</f>
        <v>0</v>
      </c>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21"/>
    </row>
    <row r="159" spans="1:218" x14ac:dyDescent="0.25">
      <c r="A159" s="17"/>
      <c r="B159" s="17"/>
      <c r="C159" s="17"/>
      <c r="D159" s="17"/>
      <c r="E159" s="17"/>
      <c r="F159" s="17"/>
      <c r="G159" s="17"/>
      <c r="H159" s="17"/>
      <c r="I159" s="17"/>
      <c r="J159" s="17"/>
      <c r="K159" s="17">
        <f>SUM(Table19[[#This Row],[Challenge 1]:[Challenge 50]])</f>
        <v>0</v>
      </c>
      <c r="L159" s="88">
        <f>SUM(Table19[[#This Row],[Club 1]:[Club 50]])</f>
        <v>0</v>
      </c>
      <c r="M159" s="88">
        <f>SUM(Table19[[#This Row],[Intra-school sports 1]:[Intra-school sports 50]])</f>
        <v>0</v>
      </c>
      <c r="N159" s="88">
        <f>SUM(Table19[[#This Row],[Inter School sports 1]:[Inter School sports 50]])</f>
        <v>0</v>
      </c>
      <c r="O159" s="17">
        <f>COUNTIF(Table19[[#This Row],[Community club (type name of club(s). All clubs will count as ''1'']],"*")</f>
        <v>0</v>
      </c>
      <c r="P159" s="17">
        <f>IF(OR(Table19[[#This Row],[Total Challenges]]&gt;0,Table19[[#This Row],[Total Ex-C Clubs]]&gt;0,Table19[[#This Row],[Total Intra-School Sports]]&gt;0,Table19[[#This Row],[Total Inter-School Sports]]&gt;0,Table19[[#This Row],[Community Clubs]]&gt;0),1,0)</f>
        <v>0</v>
      </c>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21"/>
    </row>
    <row r="160" spans="1:218" x14ac:dyDescent="0.25">
      <c r="A160" s="17"/>
      <c r="B160" s="17"/>
      <c r="C160" s="17"/>
      <c r="D160" s="17"/>
      <c r="E160" s="17"/>
      <c r="F160" s="17"/>
      <c r="G160" s="17"/>
      <c r="H160" s="17"/>
      <c r="I160" s="17"/>
      <c r="J160" s="17"/>
      <c r="K160" s="17">
        <f>SUM(Table19[[#This Row],[Challenge 1]:[Challenge 50]])</f>
        <v>0</v>
      </c>
      <c r="L160" s="88">
        <f>SUM(Table19[[#This Row],[Club 1]:[Club 50]])</f>
        <v>0</v>
      </c>
      <c r="M160" s="88">
        <f>SUM(Table19[[#This Row],[Intra-school sports 1]:[Intra-school sports 50]])</f>
        <v>0</v>
      </c>
      <c r="N160" s="88">
        <f>SUM(Table19[[#This Row],[Inter School sports 1]:[Inter School sports 50]])</f>
        <v>0</v>
      </c>
      <c r="O160" s="17">
        <f>COUNTIF(Table19[[#This Row],[Community club (type name of club(s). All clubs will count as ''1'']],"*")</f>
        <v>0</v>
      </c>
      <c r="P160" s="17">
        <f>IF(OR(Table19[[#This Row],[Total Challenges]]&gt;0,Table19[[#This Row],[Total Ex-C Clubs]]&gt;0,Table19[[#This Row],[Total Intra-School Sports]]&gt;0,Table19[[#This Row],[Total Inter-School Sports]]&gt;0,Table19[[#This Row],[Community Clubs]]&gt;0),1,0)</f>
        <v>0</v>
      </c>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21"/>
    </row>
    <row r="161" spans="1:218" x14ac:dyDescent="0.25">
      <c r="A161" s="17"/>
      <c r="B161" s="17"/>
      <c r="C161" s="17"/>
      <c r="D161" s="17"/>
      <c r="E161" s="17"/>
      <c r="F161" s="17"/>
      <c r="G161" s="17"/>
      <c r="H161" s="17"/>
      <c r="I161" s="17"/>
      <c r="J161" s="17"/>
      <c r="K161" s="17">
        <f>SUM(Table19[[#This Row],[Challenge 1]:[Challenge 50]])</f>
        <v>0</v>
      </c>
      <c r="L161" s="88">
        <f>SUM(Table19[[#This Row],[Club 1]:[Club 50]])</f>
        <v>0</v>
      </c>
      <c r="M161" s="88">
        <f>SUM(Table19[[#This Row],[Intra-school sports 1]:[Intra-school sports 50]])</f>
        <v>0</v>
      </c>
      <c r="N161" s="88">
        <f>SUM(Table19[[#This Row],[Inter School sports 1]:[Inter School sports 50]])</f>
        <v>0</v>
      </c>
      <c r="O161" s="17">
        <f>COUNTIF(Table19[[#This Row],[Community club (type name of club(s). All clubs will count as ''1'']],"*")</f>
        <v>0</v>
      </c>
      <c r="P161" s="17">
        <f>IF(OR(Table19[[#This Row],[Total Challenges]]&gt;0,Table19[[#This Row],[Total Ex-C Clubs]]&gt;0,Table19[[#This Row],[Total Intra-School Sports]]&gt;0,Table19[[#This Row],[Total Inter-School Sports]]&gt;0,Table19[[#This Row],[Community Clubs]]&gt;0),1,0)</f>
        <v>0</v>
      </c>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21"/>
    </row>
    <row r="162" spans="1:218" x14ac:dyDescent="0.25">
      <c r="A162" s="17"/>
      <c r="B162" s="17"/>
      <c r="C162" s="17"/>
      <c r="D162" s="17"/>
      <c r="E162" s="17"/>
      <c r="F162" s="17"/>
      <c r="G162" s="17"/>
      <c r="H162" s="17"/>
      <c r="I162" s="17"/>
      <c r="J162" s="17"/>
      <c r="K162" s="17">
        <f>SUM(Table19[[#This Row],[Challenge 1]:[Challenge 50]])</f>
        <v>0</v>
      </c>
      <c r="L162" s="88">
        <f>SUM(Table19[[#This Row],[Club 1]:[Club 50]])</f>
        <v>0</v>
      </c>
      <c r="M162" s="88">
        <f>SUM(Table19[[#This Row],[Intra-school sports 1]:[Intra-school sports 50]])</f>
        <v>0</v>
      </c>
      <c r="N162" s="88">
        <f>SUM(Table19[[#This Row],[Inter School sports 1]:[Inter School sports 50]])</f>
        <v>0</v>
      </c>
      <c r="O162" s="17">
        <f>COUNTIF(Table19[[#This Row],[Community club (type name of club(s). All clubs will count as ''1'']],"*")</f>
        <v>0</v>
      </c>
      <c r="P162" s="17">
        <f>IF(OR(Table19[[#This Row],[Total Challenges]]&gt;0,Table19[[#This Row],[Total Ex-C Clubs]]&gt;0,Table19[[#This Row],[Total Intra-School Sports]]&gt;0,Table19[[#This Row],[Total Inter-School Sports]]&gt;0,Table19[[#This Row],[Community Clubs]]&gt;0),1,0)</f>
        <v>0</v>
      </c>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21"/>
    </row>
    <row r="163" spans="1:218" x14ac:dyDescent="0.25">
      <c r="A163" s="17"/>
      <c r="B163" s="17"/>
      <c r="C163" s="17"/>
      <c r="D163" s="17"/>
      <c r="E163" s="17"/>
      <c r="F163" s="17"/>
      <c r="G163" s="17"/>
      <c r="H163" s="17"/>
      <c r="I163" s="17"/>
      <c r="J163" s="17"/>
      <c r="K163" s="17">
        <f>SUM(Table19[[#This Row],[Challenge 1]:[Challenge 50]])</f>
        <v>0</v>
      </c>
      <c r="L163" s="88">
        <f>SUM(Table19[[#This Row],[Club 1]:[Club 50]])</f>
        <v>0</v>
      </c>
      <c r="M163" s="88">
        <f>SUM(Table19[[#This Row],[Intra-school sports 1]:[Intra-school sports 50]])</f>
        <v>0</v>
      </c>
      <c r="N163" s="88">
        <f>SUM(Table19[[#This Row],[Inter School sports 1]:[Inter School sports 50]])</f>
        <v>0</v>
      </c>
      <c r="O163" s="17">
        <f>COUNTIF(Table19[[#This Row],[Community club (type name of club(s). All clubs will count as ''1'']],"*")</f>
        <v>0</v>
      </c>
      <c r="P163" s="17">
        <f>IF(OR(Table19[[#This Row],[Total Challenges]]&gt;0,Table19[[#This Row],[Total Ex-C Clubs]]&gt;0,Table19[[#This Row],[Total Intra-School Sports]]&gt;0,Table19[[#This Row],[Total Inter-School Sports]]&gt;0,Table19[[#This Row],[Community Clubs]]&gt;0),1,0)</f>
        <v>0</v>
      </c>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21"/>
    </row>
    <row r="164" spans="1:218" x14ac:dyDescent="0.25">
      <c r="A164" s="17"/>
      <c r="B164" s="17"/>
      <c r="C164" s="17"/>
      <c r="D164" s="17"/>
      <c r="E164" s="17"/>
      <c r="F164" s="17"/>
      <c r="G164" s="17"/>
      <c r="H164" s="17"/>
      <c r="I164" s="17"/>
      <c r="J164" s="17"/>
      <c r="K164" s="17">
        <f>SUM(Table19[[#This Row],[Challenge 1]:[Challenge 50]])</f>
        <v>0</v>
      </c>
      <c r="L164" s="88">
        <f>SUM(Table19[[#This Row],[Club 1]:[Club 50]])</f>
        <v>0</v>
      </c>
      <c r="M164" s="88">
        <f>SUM(Table19[[#This Row],[Intra-school sports 1]:[Intra-school sports 50]])</f>
        <v>0</v>
      </c>
      <c r="N164" s="88">
        <f>SUM(Table19[[#This Row],[Inter School sports 1]:[Inter School sports 50]])</f>
        <v>0</v>
      </c>
      <c r="O164" s="17">
        <f>COUNTIF(Table19[[#This Row],[Community club (type name of club(s). All clubs will count as ''1'']],"*")</f>
        <v>0</v>
      </c>
      <c r="P164" s="17">
        <f>IF(OR(Table19[[#This Row],[Total Challenges]]&gt;0,Table19[[#This Row],[Total Ex-C Clubs]]&gt;0,Table19[[#This Row],[Total Intra-School Sports]]&gt;0,Table19[[#This Row],[Total Inter-School Sports]]&gt;0,Table19[[#This Row],[Community Clubs]]&gt;0),1,0)</f>
        <v>0</v>
      </c>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21"/>
    </row>
    <row r="165" spans="1:218" x14ac:dyDescent="0.25">
      <c r="A165" s="17"/>
      <c r="B165" s="17"/>
      <c r="C165" s="17"/>
      <c r="D165" s="17"/>
      <c r="E165" s="17"/>
      <c r="F165" s="17"/>
      <c r="G165" s="17"/>
      <c r="H165" s="17"/>
      <c r="I165" s="17"/>
      <c r="J165" s="17"/>
      <c r="K165" s="17">
        <f>SUM(Table19[[#This Row],[Challenge 1]:[Challenge 50]])</f>
        <v>0</v>
      </c>
      <c r="L165" s="88">
        <f>SUM(Table19[[#This Row],[Club 1]:[Club 50]])</f>
        <v>0</v>
      </c>
      <c r="M165" s="88">
        <f>SUM(Table19[[#This Row],[Intra-school sports 1]:[Intra-school sports 50]])</f>
        <v>0</v>
      </c>
      <c r="N165" s="88">
        <f>SUM(Table19[[#This Row],[Inter School sports 1]:[Inter School sports 50]])</f>
        <v>0</v>
      </c>
      <c r="O165" s="17">
        <f>COUNTIF(Table19[[#This Row],[Community club (type name of club(s). All clubs will count as ''1'']],"*")</f>
        <v>0</v>
      </c>
      <c r="P165" s="17">
        <f>IF(OR(Table19[[#This Row],[Total Challenges]]&gt;0,Table19[[#This Row],[Total Ex-C Clubs]]&gt;0,Table19[[#This Row],[Total Intra-School Sports]]&gt;0,Table19[[#This Row],[Total Inter-School Sports]]&gt;0,Table19[[#This Row],[Community Clubs]]&gt;0),1,0)</f>
        <v>0</v>
      </c>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21"/>
    </row>
    <row r="166" spans="1:218" x14ac:dyDescent="0.25">
      <c r="A166" s="17"/>
      <c r="B166" s="17"/>
      <c r="C166" s="17"/>
      <c r="D166" s="17"/>
      <c r="E166" s="17"/>
      <c r="F166" s="17"/>
      <c r="G166" s="17"/>
      <c r="H166" s="17"/>
      <c r="I166" s="17"/>
      <c r="J166" s="17"/>
      <c r="K166" s="17">
        <f>SUM(Table19[[#This Row],[Challenge 1]:[Challenge 50]])</f>
        <v>0</v>
      </c>
      <c r="L166" s="88">
        <f>SUM(Table19[[#This Row],[Club 1]:[Club 50]])</f>
        <v>0</v>
      </c>
      <c r="M166" s="88">
        <f>SUM(Table19[[#This Row],[Intra-school sports 1]:[Intra-school sports 50]])</f>
        <v>0</v>
      </c>
      <c r="N166" s="88">
        <f>SUM(Table19[[#This Row],[Inter School sports 1]:[Inter School sports 50]])</f>
        <v>0</v>
      </c>
      <c r="O166" s="17">
        <f>COUNTIF(Table19[[#This Row],[Community club (type name of club(s). All clubs will count as ''1'']],"*")</f>
        <v>0</v>
      </c>
      <c r="P166" s="17">
        <f>IF(OR(Table19[[#This Row],[Total Challenges]]&gt;0,Table19[[#This Row],[Total Ex-C Clubs]]&gt;0,Table19[[#This Row],[Total Intra-School Sports]]&gt;0,Table19[[#This Row],[Total Inter-School Sports]]&gt;0,Table19[[#This Row],[Community Clubs]]&gt;0),1,0)</f>
        <v>0</v>
      </c>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21"/>
    </row>
    <row r="167" spans="1:218" x14ac:dyDescent="0.25">
      <c r="A167" s="17"/>
      <c r="B167" s="17"/>
      <c r="C167" s="17"/>
      <c r="D167" s="17"/>
      <c r="E167" s="17"/>
      <c r="F167" s="17"/>
      <c r="G167" s="17"/>
      <c r="H167" s="17"/>
      <c r="I167" s="17"/>
      <c r="J167" s="17"/>
      <c r="K167" s="17">
        <f>SUM(Table19[[#This Row],[Challenge 1]:[Challenge 50]])</f>
        <v>0</v>
      </c>
      <c r="L167" s="88">
        <f>SUM(Table19[[#This Row],[Club 1]:[Club 50]])</f>
        <v>0</v>
      </c>
      <c r="M167" s="88">
        <f>SUM(Table19[[#This Row],[Intra-school sports 1]:[Intra-school sports 50]])</f>
        <v>0</v>
      </c>
      <c r="N167" s="88">
        <f>SUM(Table19[[#This Row],[Inter School sports 1]:[Inter School sports 50]])</f>
        <v>0</v>
      </c>
      <c r="O167" s="17">
        <f>COUNTIF(Table19[[#This Row],[Community club (type name of club(s). All clubs will count as ''1'']],"*")</f>
        <v>0</v>
      </c>
      <c r="P167" s="17">
        <f>IF(OR(Table19[[#This Row],[Total Challenges]]&gt;0,Table19[[#This Row],[Total Ex-C Clubs]]&gt;0,Table19[[#This Row],[Total Intra-School Sports]]&gt;0,Table19[[#This Row],[Total Inter-School Sports]]&gt;0,Table19[[#This Row],[Community Clubs]]&gt;0),1,0)</f>
        <v>0</v>
      </c>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21"/>
    </row>
    <row r="168" spans="1:218" x14ac:dyDescent="0.25">
      <c r="A168" s="17"/>
      <c r="B168" s="17"/>
      <c r="C168" s="17"/>
      <c r="D168" s="17"/>
      <c r="E168" s="17"/>
      <c r="F168" s="17"/>
      <c r="G168" s="17"/>
      <c r="H168" s="17"/>
      <c r="I168" s="17"/>
      <c r="J168" s="17"/>
      <c r="K168" s="17">
        <f>SUM(Table19[[#This Row],[Challenge 1]:[Challenge 50]])</f>
        <v>0</v>
      </c>
      <c r="L168" s="88">
        <f>SUM(Table19[[#This Row],[Club 1]:[Club 50]])</f>
        <v>0</v>
      </c>
      <c r="M168" s="88">
        <f>SUM(Table19[[#This Row],[Intra-school sports 1]:[Intra-school sports 50]])</f>
        <v>0</v>
      </c>
      <c r="N168" s="88">
        <f>SUM(Table19[[#This Row],[Inter School sports 1]:[Inter School sports 50]])</f>
        <v>0</v>
      </c>
      <c r="O168" s="17">
        <f>COUNTIF(Table19[[#This Row],[Community club (type name of club(s). All clubs will count as ''1'']],"*")</f>
        <v>0</v>
      </c>
      <c r="P168" s="17">
        <f>IF(OR(Table19[[#This Row],[Total Challenges]]&gt;0,Table19[[#This Row],[Total Ex-C Clubs]]&gt;0,Table19[[#This Row],[Total Intra-School Sports]]&gt;0,Table19[[#This Row],[Total Inter-School Sports]]&gt;0,Table19[[#This Row],[Community Clubs]]&gt;0),1,0)</f>
        <v>0</v>
      </c>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21"/>
    </row>
    <row r="169" spans="1:218" x14ac:dyDescent="0.25">
      <c r="K169" s="91">
        <f>SUM(Table19[[#This Row],[Challenge 1]:[Challenge 50]])</f>
        <v>0</v>
      </c>
      <c r="L169" s="2">
        <f>SUM(Table19[[#This Row],[Club 1]:[Club 50]])</f>
        <v>0</v>
      </c>
      <c r="M169" s="2">
        <f>SUM(Table19[[#This Row],[Intra-school sports 1]:[Intra-school sports 50]])</f>
        <v>0</v>
      </c>
      <c r="N169" s="2">
        <f>SUM(Table19[[#This Row],[Inter School sports 1]:[Inter School sports 50]])</f>
        <v>0</v>
      </c>
      <c r="O169" s="91">
        <f>COUNTIF(Table19[[#This Row],[Community club (type name of club(s). All clubs will count as ''1'']],"*")</f>
        <v>0</v>
      </c>
      <c r="P169" s="91">
        <f>IF(OR(Table19[[#This Row],[Total Challenges]]&gt;0,Table19[[#This Row],[Total Ex-C Clubs]]&gt;0,Table19[[#This Row],[Total Intra-School Sports]]&gt;0,Table19[[#This Row],[Total Inter-School Sports]]&gt;0,Table19[[#This Row],[Community Clubs]]&gt;0),1,0)</f>
        <v>0</v>
      </c>
      <c r="HI169"/>
      <c r="HJ169" s="19"/>
    </row>
    <row r="170" spans="1:218" x14ac:dyDescent="0.25">
      <c r="K170" s="91">
        <f>SUM(Table19[[#This Row],[Challenge 1]:[Challenge 50]])</f>
        <v>0</v>
      </c>
      <c r="L170" s="2">
        <f>SUM(Table19[[#This Row],[Club 1]:[Club 50]])</f>
        <v>0</v>
      </c>
      <c r="M170" s="2">
        <f>SUM(Table19[[#This Row],[Intra-school sports 1]:[Intra-school sports 50]])</f>
        <v>0</v>
      </c>
      <c r="N170" s="2">
        <f>SUM(Table19[[#This Row],[Inter School sports 1]:[Inter School sports 50]])</f>
        <v>0</v>
      </c>
      <c r="O170" s="91">
        <f>COUNTIF(Table19[[#This Row],[Community club (type name of club(s). All clubs will count as ''1'']],"*")</f>
        <v>0</v>
      </c>
      <c r="P170" s="91">
        <f>IF(OR(Table19[[#This Row],[Total Challenges]]&gt;0,Table19[[#This Row],[Total Ex-C Clubs]]&gt;0,Table19[[#This Row],[Total Intra-School Sports]]&gt;0,Table19[[#This Row],[Total Inter-School Sports]]&gt;0,Table19[[#This Row],[Community Clubs]]&gt;0),1,0)</f>
        <v>0</v>
      </c>
      <c r="HI170"/>
      <c r="HJ170" s="19"/>
    </row>
    <row r="171" spans="1:218" x14ac:dyDescent="0.25">
      <c r="K171" s="91">
        <f>SUM(Table19[[#This Row],[Challenge 1]:[Challenge 50]])</f>
        <v>0</v>
      </c>
      <c r="L171" s="2">
        <f>SUM(Table19[[#This Row],[Club 1]:[Club 50]])</f>
        <v>0</v>
      </c>
      <c r="M171" s="2">
        <f>SUM(Table19[[#This Row],[Intra-school sports 1]:[Intra-school sports 50]])</f>
        <v>0</v>
      </c>
      <c r="N171" s="2">
        <f>SUM(Table19[[#This Row],[Inter School sports 1]:[Inter School sports 50]])</f>
        <v>0</v>
      </c>
      <c r="O171" s="91">
        <f>COUNTIF(Table19[[#This Row],[Community club (type name of club(s). All clubs will count as ''1'']],"*")</f>
        <v>0</v>
      </c>
      <c r="P171" s="91">
        <f>IF(OR(Table19[[#This Row],[Total Challenges]]&gt;0,Table19[[#This Row],[Total Ex-C Clubs]]&gt;0,Table19[[#This Row],[Total Intra-School Sports]]&gt;0,Table19[[#This Row],[Total Inter-School Sports]]&gt;0,Table19[[#This Row],[Community Clubs]]&gt;0),1,0)</f>
        <v>0</v>
      </c>
      <c r="HI171"/>
      <c r="HJ171" s="19"/>
    </row>
    <row r="172" spans="1:218" x14ac:dyDescent="0.25">
      <c r="K172" s="91">
        <f>SUM(Table19[[#This Row],[Challenge 1]:[Challenge 50]])</f>
        <v>0</v>
      </c>
      <c r="L172" s="2">
        <f>SUM(Table19[[#This Row],[Club 1]:[Club 50]])</f>
        <v>0</v>
      </c>
      <c r="M172" s="2">
        <f>SUM(Table19[[#This Row],[Intra-school sports 1]:[Intra-school sports 50]])</f>
        <v>0</v>
      </c>
      <c r="N172" s="2">
        <f>SUM(Table19[[#This Row],[Inter School sports 1]:[Inter School sports 50]])</f>
        <v>0</v>
      </c>
      <c r="O172" s="91">
        <f>COUNTIF(Table19[[#This Row],[Community club (type name of club(s). All clubs will count as ''1'']],"*")</f>
        <v>0</v>
      </c>
      <c r="P172" s="91">
        <f>IF(OR(Table19[[#This Row],[Total Challenges]]&gt;0,Table19[[#This Row],[Total Ex-C Clubs]]&gt;0,Table19[[#This Row],[Total Intra-School Sports]]&gt;0,Table19[[#This Row],[Total Inter-School Sports]]&gt;0,Table19[[#This Row],[Community Clubs]]&gt;0),1,0)</f>
        <v>0</v>
      </c>
      <c r="HI172"/>
      <c r="HJ172" s="19"/>
    </row>
    <row r="173" spans="1:218" x14ac:dyDescent="0.25">
      <c r="K173" s="91">
        <f>SUM(Table19[[#This Row],[Challenge 1]:[Challenge 50]])</f>
        <v>0</v>
      </c>
      <c r="L173" s="2">
        <f>SUM(Table19[[#This Row],[Club 1]:[Club 50]])</f>
        <v>0</v>
      </c>
      <c r="M173" s="2">
        <f>SUM(Table19[[#This Row],[Intra-school sports 1]:[Intra-school sports 50]])</f>
        <v>0</v>
      </c>
      <c r="N173" s="2">
        <f>SUM(Table19[[#This Row],[Inter School sports 1]:[Inter School sports 50]])</f>
        <v>0</v>
      </c>
      <c r="O173" s="91">
        <f>COUNTIF(Table19[[#This Row],[Community club (type name of club(s). All clubs will count as ''1'']],"*")</f>
        <v>0</v>
      </c>
      <c r="P173" s="91">
        <f>IF(OR(Table19[[#This Row],[Total Challenges]]&gt;0,Table19[[#This Row],[Total Ex-C Clubs]]&gt;0,Table19[[#This Row],[Total Intra-School Sports]]&gt;0,Table19[[#This Row],[Total Inter-School Sports]]&gt;0,Table19[[#This Row],[Community Clubs]]&gt;0),1,0)</f>
        <v>0</v>
      </c>
      <c r="HI173"/>
      <c r="HJ173" s="19"/>
    </row>
    <row r="174" spans="1:218" x14ac:dyDescent="0.25">
      <c r="K174" s="91">
        <f>SUM(Table19[[#This Row],[Challenge 1]:[Challenge 50]])</f>
        <v>0</v>
      </c>
      <c r="L174" s="2">
        <f>SUM(Table19[[#This Row],[Club 1]:[Club 50]])</f>
        <v>0</v>
      </c>
      <c r="M174" s="2">
        <f>SUM(Table19[[#This Row],[Intra-school sports 1]:[Intra-school sports 50]])</f>
        <v>0</v>
      </c>
      <c r="N174" s="2">
        <f>SUM(Table19[[#This Row],[Inter School sports 1]:[Inter School sports 50]])</f>
        <v>0</v>
      </c>
      <c r="O174" s="91">
        <f>COUNTIF(Table19[[#This Row],[Community club (type name of club(s). All clubs will count as ''1'']],"*")</f>
        <v>0</v>
      </c>
      <c r="P174" s="91">
        <f>IF(OR(Table19[[#This Row],[Total Challenges]]&gt;0,Table19[[#This Row],[Total Ex-C Clubs]]&gt;0,Table19[[#This Row],[Total Intra-School Sports]]&gt;0,Table19[[#This Row],[Total Inter-School Sports]]&gt;0,Table19[[#This Row],[Community Clubs]]&gt;0),1,0)</f>
        <v>0</v>
      </c>
      <c r="HI174"/>
      <c r="HJ174" s="19"/>
    </row>
    <row r="175" spans="1:218" x14ac:dyDescent="0.25">
      <c r="K175" s="91">
        <f>SUM(Table19[[#This Row],[Challenge 1]:[Challenge 50]])</f>
        <v>0</v>
      </c>
      <c r="L175" s="2">
        <f>SUM(Table19[[#This Row],[Club 1]:[Club 50]])</f>
        <v>0</v>
      </c>
      <c r="M175" s="2">
        <f>SUM(Table19[[#This Row],[Intra-school sports 1]:[Intra-school sports 50]])</f>
        <v>0</v>
      </c>
      <c r="N175" s="2">
        <f>SUM(Table19[[#This Row],[Inter School sports 1]:[Inter School sports 50]])</f>
        <v>0</v>
      </c>
      <c r="O175" s="91">
        <f>COUNTIF(Table19[[#This Row],[Community club (type name of club(s). All clubs will count as ''1'']],"*")</f>
        <v>0</v>
      </c>
      <c r="P175" s="91">
        <f>IF(OR(Table19[[#This Row],[Total Challenges]]&gt;0,Table19[[#This Row],[Total Ex-C Clubs]]&gt;0,Table19[[#This Row],[Total Intra-School Sports]]&gt;0,Table19[[#This Row],[Total Inter-School Sports]]&gt;0,Table19[[#This Row],[Community Clubs]]&gt;0),1,0)</f>
        <v>0</v>
      </c>
      <c r="HI175"/>
      <c r="HJ175" s="19"/>
    </row>
    <row r="176" spans="1:218" x14ac:dyDescent="0.25">
      <c r="K176" s="91">
        <f>SUM(Table19[[#This Row],[Challenge 1]:[Challenge 50]])</f>
        <v>0</v>
      </c>
      <c r="L176" s="2">
        <f>SUM(Table19[[#This Row],[Club 1]:[Club 50]])</f>
        <v>0</v>
      </c>
      <c r="M176" s="2">
        <f>SUM(Table19[[#This Row],[Intra-school sports 1]:[Intra-school sports 50]])</f>
        <v>0</v>
      </c>
      <c r="N176" s="2">
        <f>SUM(Table19[[#This Row],[Inter School sports 1]:[Inter School sports 50]])</f>
        <v>0</v>
      </c>
      <c r="O176" s="91">
        <f>COUNTIF(Table19[[#This Row],[Community club (type name of club(s). All clubs will count as ''1'']],"*")</f>
        <v>0</v>
      </c>
      <c r="P176" s="91">
        <f>IF(OR(Table19[[#This Row],[Total Challenges]]&gt;0,Table19[[#This Row],[Total Ex-C Clubs]]&gt;0,Table19[[#This Row],[Total Intra-School Sports]]&gt;0,Table19[[#This Row],[Total Inter-School Sports]]&gt;0,Table19[[#This Row],[Community Clubs]]&gt;0),1,0)</f>
        <v>0</v>
      </c>
      <c r="HI176"/>
      <c r="HJ176" s="19"/>
    </row>
    <row r="177" spans="11:218" x14ac:dyDescent="0.25">
      <c r="K177" s="91">
        <f>SUM(Table19[[#This Row],[Challenge 1]:[Challenge 50]])</f>
        <v>0</v>
      </c>
      <c r="L177" s="2">
        <f>SUM(Table19[[#This Row],[Club 1]:[Club 50]])</f>
        <v>0</v>
      </c>
      <c r="M177" s="2">
        <f>SUM(Table19[[#This Row],[Intra-school sports 1]:[Intra-school sports 50]])</f>
        <v>0</v>
      </c>
      <c r="N177" s="2">
        <f>SUM(Table19[[#This Row],[Inter School sports 1]:[Inter School sports 50]])</f>
        <v>0</v>
      </c>
      <c r="O177" s="91">
        <f>COUNTIF(Table19[[#This Row],[Community club (type name of club(s). All clubs will count as ''1'']],"*")</f>
        <v>0</v>
      </c>
      <c r="P177" s="91">
        <f>IF(OR(Table19[[#This Row],[Total Challenges]]&gt;0,Table19[[#This Row],[Total Ex-C Clubs]]&gt;0,Table19[[#This Row],[Total Intra-School Sports]]&gt;0,Table19[[#This Row],[Total Inter-School Sports]]&gt;0,Table19[[#This Row],[Community Clubs]]&gt;0),1,0)</f>
        <v>0</v>
      </c>
      <c r="HI177"/>
      <c r="HJ177" s="19"/>
    </row>
    <row r="178" spans="11:218" x14ac:dyDescent="0.25">
      <c r="K178" s="91">
        <f>SUM(Table19[[#This Row],[Challenge 1]:[Challenge 50]])</f>
        <v>0</v>
      </c>
      <c r="L178" s="2">
        <f>SUM(Table19[[#This Row],[Club 1]:[Club 50]])</f>
        <v>0</v>
      </c>
      <c r="M178" s="2">
        <f>SUM(Table19[[#This Row],[Intra-school sports 1]:[Intra-school sports 50]])</f>
        <v>0</v>
      </c>
      <c r="N178" s="2">
        <f>SUM(Table19[[#This Row],[Inter School sports 1]:[Inter School sports 50]])</f>
        <v>0</v>
      </c>
      <c r="O178" s="91">
        <f>COUNTIF(Table19[[#This Row],[Community club (type name of club(s). All clubs will count as ''1'']],"*")</f>
        <v>0</v>
      </c>
      <c r="P178" s="91">
        <f>IF(OR(Table19[[#This Row],[Total Challenges]]&gt;0,Table19[[#This Row],[Total Ex-C Clubs]]&gt;0,Table19[[#This Row],[Total Intra-School Sports]]&gt;0,Table19[[#This Row],[Total Inter-School Sports]]&gt;0,Table19[[#This Row],[Community Clubs]]&gt;0),1,0)</f>
        <v>0</v>
      </c>
      <c r="HI178"/>
      <c r="HJ178" s="19"/>
    </row>
    <row r="179" spans="11:218" x14ac:dyDescent="0.25">
      <c r="K179" s="91">
        <f>SUM(Table19[[#This Row],[Challenge 1]:[Challenge 50]])</f>
        <v>0</v>
      </c>
      <c r="L179" s="2">
        <f>SUM(Table19[[#This Row],[Club 1]:[Club 50]])</f>
        <v>0</v>
      </c>
      <c r="M179" s="2">
        <f>SUM(Table19[[#This Row],[Intra-school sports 1]:[Intra-school sports 50]])</f>
        <v>0</v>
      </c>
      <c r="N179" s="2">
        <f>SUM(Table19[[#This Row],[Inter School sports 1]:[Inter School sports 50]])</f>
        <v>0</v>
      </c>
      <c r="O179" s="91">
        <f>COUNTIF(Table19[[#This Row],[Community club (type name of club(s). All clubs will count as ''1'']],"*")</f>
        <v>0</v>
      </c>
      <c r="P179" s="91">
        <f>IF(OR(Table19[[#This Row],[Total Challenges]]&gt;0,Table19[[#This Row],[Total Ex-C Clubs]]&gt;0,Table19[[#This Row],[Total Intra-School Sports]]&gt;0,Table19[[#This Row],[Total Inter-School Sports]]&gt;0,Table19[[#This Row],[Community Clubs]]&gt;0),1,0)</f>
        <v>0</v>
      </c>
      <c r="HI179"/>
      <c r="HJ179" s="19"/>
    </row>
    <row r="180" spans="11:218" x14ac:dyDescent="0.25">
      <c r="K180" s="91">
        <f>SUM(Table19[[#This Row],[Challenge 1]:[Challenge 50]])</f>
        <v>0</v>
      </c>
      <c r="L180" s="2">
        <f>SUM(Table19[[#This Row],[Club 1]:[Club 50]])</f>
        <v>0</v>
      </c>
      <c r="M180" s="2">
        <f>SUM(Table19[[#This Row],[Intra-school sports 1]:[Intra-school sports 50]])</f>
        <v>0</v>
      </c>
      <c r="N180" s="2">
        <f>SUM(Table19[[#This Row],[Inter School sports 1]:[Inter School sports 50]])</f>
        <v>0</v>
      </c>
      <c r="O180" s="91">
        <f>COUNTIF(Table19[[#This Row],[Community club (type name of club(s). All clubs will count as ''1'']],"*")</f>
        <v>0</v>
      </c>
      <c r="P180" s="91">
        <f>IF(OR(Table19[[#This Row],[Total Challenges]]&gt;0,Table19[[#This Row],[Total Ex-C Clubs]]&gt;0,Table19[[#This Row],[Total Intra-School Sports]]&gt;0,Table19[[#This Row],[Total Inter-School Sports]]&gt;0,Table19[[#This Row],[Community Clubs]]&gt;0),1,0)</f>
        <v>0</v>
      </c>
      <c r="HI180"/>
      <c r="HJ180" s="19"/>
    </row>
    <row r="181" spans="11:218" x14ac:dyDescent="0.25">
      <c r="K181" s="91">
        <f>SUM(Table19[[#This Row],[Challenge 1]:[Challenge 50]])</f>
        <v>0</v>
      </c>
      <c r="L181" s="2">
        <f>SUM(Table19[[#This Row],[Club 1]:[Club 50]])</f>
        <v>0</v>
      </c>
      <c r="M181" s="2">
        <f>SUM(Table19[[#This Row],[Intra-school sports 1]:[Intra-school sports 50]])</f>
        <v>0</v>
      </c>
      <c r="N181" s="2">
        <f>SUM(Table19[[#This Row],[Inter School sports 1]:[Inter School sports 50]])</f>
        <v>0</v>
      </c>
      <c r="O181" s="91">
        <f>COUNTIF(Table19[[#This Row],[Community club (type name of club(s). All clubs will count as ''1'']],"*")</f>
        <v>0</v>
      </c>
      <c r="P181" s="91">
        <f>IF(OR(Table19[[#This Row],[Total Challenges]]&gt;0,Table19[[#This Row],[Total Ex-C Clubs]]&gt;0,Table19[[#This Row],[Total Intra-School Sports]]&gt;0,Table19[[#This Row],[Total Inter-School Sports]]&gt;0,Table19[[#This Row],[Community Clubs]]&gt;0),1,0)</f>
        <v>0</v>
      </c>
      <c r="HI181"/>
      <c r="HJ181" s="19"/>
    </row>
    <row r="182" spans="11:218" x14ac:dyDescent="0.25">
      <c r="K182" s="91">
        <f>SUM(Table19[[#This Row],[Challenge 1]:[Challenge 50]])</f>
        <v>0</v>
      </c>
      <c r="L182" s="2">
        <f>SUM(Table19[[#This Row],[Club 1]:[Club 50]])</f>
        <v>0</v>
      </c>
      <c r="M182" s="2">
        <f>SUM(Table19[[#This Row],[Intra-school sports 1]:[Intra-school sports 50]])</f>
        <v>0</v>
      </c>
      <c r="N182" s="2">
        <f>SUM(Table19[[#This Row],[Inter School sports 1]:[Inter School sports 50]])</f>
        <v>0</v>
      </c>
      <c r="O182" s="91">
        <f>COUNTIF(Table19[[#This Row],[Community club (type name of club(s). All clubs will count as ''1'']],"*")</f>
        <v>0</v>
      </c>
      <c r="P182" s="91">
        <f>IF(OR(Table19[[#This Row],[Total Challenges]]&gt;0,Table19[[#This Row],[Total Ex-C Clubs]]&gt;0,Table19[[#This Row],[Total Intra-School Sports]]&gt;0,Table19[[#This Row],[Total Inter-School Sports]]&gt;0,Table19[[#This Row],[Community Clubs]]&gt;0),1,0)</f>
        <v>0</v>
      </c>
      <c r="HI182"/>
      <c r="HJ182" s="19"/>
    </row>
    <row r="183" spans="11:218" x14ac:dyDescent="0.25">
      <c r="K183" s="91">
        <f>SUM(Table19[[#This Row],[Challenge 1]:[Challenge 50]])</f>
        <v>0</v>
      </c>
      <c r="L183" s="2">
        <f>SUM(Table19[[#This Row],[Club 1]:[Club 50]])</f>
        <v>0</v>
      </c>
      <c r="M183" s="2">
        <f>SUM(Table19[[#This Row],[Intra-school sports 1]:[Intra-school sports 50]])</f>
        <v>0</v>
      </c>
      <c r="N183" s="2">
        <f>SUM(Table19[[#This Row],[Inter School sports 1]:[Inter School sports 50]])</f>
        <v>0</v>
      </c>
      <c r="O183" s="91">
        <f>COUNTIF(Table19[[#This Row],[Community club (type name of club(s). All clubs will count as ''1'']],"*")</f>
        <v>0</v>
      </c>
      <c r="P183" s="91">
        <f>IF(OR(Table19[[#This Row],[Total Challenges]]&gt;0,Table19[[#This Row],[Total Ex-C Clubs]]&gt;0,Table19[[#This Row],[Total Intra-School Sports]]&gt;0,Table19[[#This Row],[Total Inter-School Sports]]&gt;0,Table19[[#This Row],[Community Clubs]]&gt;0),1,0)</f>
        <v>0</v>
      </c>
      <c r="HI183"/>
      <c r="HJ183" s="19"/>
    </row>
    <row r="184" spans="11:218" x14ac:dyDescent="0.25">
      <c r="K184" s="91">
        <f>SUM(Table19[[#This Row],[Challenge 1]:[Challenge 50]])</f>
        <v>0</v>
      </c>
      <c r="L184" s="2">
        <f>SUM(Table19[[#This Row],[Club 1]:[Club 50]])</f>
        <v>0</v>
      </c>
      <c r="M184" s="2">
        <f>SUM(Table19[[#This Row],[Intra-school sports 1]:[Intra-school sports 50]])</f>
        <v>0</v>
      </c>
      <c r="N184" s="2">
        <f>SUM(Table19[[#This Row],[Inter School sports 1]:[Inter School sports 50]])</f>
        <v>0</v>
      </c>
      <c r="O184" s="91">
        <f>COUNTIF(Table19[[#This Row],[Community club (type name of club(s). All clubs will count as ''1'']],"*")</f>
        <v>0</v>
      </c>
      <c r="P184" s="91">
        <f>IF(OR(Table19[[#This Row],[Total Challenges]]&gt;0,Table19[[#This Row],[Total Ex-C Clubs]]&gt;0,Table19[[#This Row],[Total Intra-School Sports]]&gt;0,Table19[[#This Row],[Total Inter-School Sports]]&gt;0,Table19[[#This Row],[Community Clubs]]&gt;0),1,0)</f>
        <v>0</v>
      </c>
      <c r="HI184"/>
      <c r="HJ184" s="19"/>
    </row>
    <row r="185" spans="11:218" x14ac:dyDescent="0.25">
      <c r="K185" s="91">
        <f>SUM(Table19[[#This Row],[Challenge 1]:[Challenge 50]])</f>
        <v>0</v>
      </c>
      <c r="L185" s="2">
        <f>SUM(Table19[[#This Row],[Club 1]:[Club 50]])</f>
        <v>0</v>
      </c>
      <c r="M185" s="2">
        <f>SUM(Table19[[#This Row],[Intra-school sports 1]:[Intra-school sports 50]])</f>
        <v>0</v>
      </c>
      <c r="N185" s="2">
        <f>SUM(Table19[[#This Row],[Inter School sports 1]:[Inter School sports 50]])</f>
        <v>0</v>
      </c>
      <c r="O185" s="91">
        <f>COUNTIF(Table19[[#This Row],[Community club (type name of club(s). All clubs will count as ''1'']],"*")</f>
        <v>0</v>
      </c>
      <c r="P185" s="91">
        <f>IF(OR(Table19[[#This Row],[Total Challenges]]&gt;0,Table19[[#This Row],[Total Ex-C Clubs]]&gt;0,Table19[[#This Row],[Total Intra-School Sports]]&gt;0,Table19[[#This Row],[Total Inter-School Sports]]&gt;0,Table19[[#This Row],[Community Clubs]]&gt;0),1,0)</f>
        <v>0</v>
      </c>
      <c r="HI185"/>
      <c r="HJ185" s="19"/>
    </row>
    <row r="186" spans="11:218" x14ac:dyDescent="0.25">
      <c r="K186" s="91">
        <f>SUM(Table19[[#This Row],[Challenge 1]:[Challenge 50]])</f>
        <v>0</v>
      </c>
      <c r="L186" s="2">
        <f>SUM(Table19[[#This Row],[Club 1]:[Club 50]])</f>
        <v>0</v>
      </c>
      <c r="M186" s="2">
        <f>SUM(Table19[[#This Row],[Intra-school sports 1]:[Intra-school sports 50]])</f>
        <v>0</v>
      </c>
      <c r="N186" s="2">
        <f>SUM(Table19[[#This Row],[Inter School sports 1]:[Inter School sports 50]])</f>
        <v>0</v>
      </c>
      <c r="O186" s="91">
        <f>COUNTIF(Table19[[#This Row],[Community club (type name of club(s). All clubs will count as ''1'']],"*")</f>
        <v>0</v>
      </c>
      <c r="P186" s="91">
        <f>IF(OR(Table19[[#This Row],[Total Challenges]]&gt;0,Table19[[#This Row],[Total Ex-C Clubs]]&gt;0,Table19[[#This Row],[Total Intra-School Sports]]&gt;0,Table19[[#This Row],[Total Inter-School Sports]]&gt;0,Table19[[#This Row],[Community Clubs]]&gt;0),1,0)</f>
        <v>0</v>
      </c>
      <c r="HI186"/>
      <c r="HJ186" s="19"/>
    </row>
    <row r="187" spans="11:218" x14ac:dyDescent="0.25">
      <c r="K187" s="91">
        <f>SUM(Table19[[#This Row],[Challenge 1]:[Challenge 50]])</f>
        <v>0</v>
      </c>
      <c r="L187" s="2">
        <f>SUM(Table19[[#This Row],[Club 1]:[Club 50]])</f>
        <v>0</v>
      </c>
      <c r="M187" s="2">
        <f>SUM(Table19[[#This Row],[Intra-school sports 1]:[Intra-school sports 50]])</f>
        <v>0</v>
      </c>
      <c r="N187" s="2">
        <f>SUM(Table19[[#This Row],[Inter School sports 1]:[Inter School sports 50]])</f>
        <v>0</v>
      </c>
      <c r="O187" s="91">
        <f>COUNTIF(Table19[[#This Row],[Community club (type name of club(s). All clubs will count as ''1'']],"*")</f>
        <v>0</v>
      </c>
      <c r="P187" s="91">
        <f>IF(OR(Table19[[#This Row],[Total Challenges]]&gt;0,Table19[[#This Row],[Total Ex-C Clubs]]&gt;0,Table19[[#This Row],[Total Intra-School Sports]]&gt;0,Table19[[#This Row],[Total Inter-School Sports]]&gt;0,Table19[[#This Row],[Community Clubs]]&gt;0),1,0)</f>
        <v>0</v>
      </c>
      <c r="HI187"/>
      <c r="HJ187" s="19"/>
    </row>
    <row r="188" spans="11:218" x14ac:dyDescent="0.25">
      <c r="K188" s="91">
        <f>SUM(Table19[[#This Row],[Challenge 1]:[Challenge 50]])</f>
        <v>0</v>
      </c>
      <c r="L188" s="2">
        <f>SUM(Table19[[#This Row],[Club 1]:[Club 50]])</f>
        <v>0</v>
      </c>
      <c r="M188" s="2">
        <f>SUM(Table19[[#This Row],[Intra-school sports 1]:[Intra-school sports 50]])</f>
        <v>0</v>
      </c>
      <c r="N188" s="2">
        <f>SUM(Table19[[#This Row],[Inter School sports 1]:[Inter School sports 50]])</f>
        <v>0</v>
      </c>
      <c r="O188" s="91">
        <f>COUNTIF(Table19[[#This Row],[Community club (type name of club(s). All clubs will count as ''1'']],"*")</f>
        <v>0</v>
      </c>
      <c r="P188" s="91">
        <f>IF(OR(Table19[[#This Row],[Total Challenges]]&gt;0,Table19[[#This Row],[Total Ex-C Clubs]]&gt;0,Table19[[#This Row],[Total Intra-School Sports]]&gt;0,Table19[[#This Row],[Total Inter-School Sports]]&gt;0,Table19[[#This Row],[Community Clubs]]&gt;0),1,0)</f>
        <v>0</v>
      </c>
      <c r="HI188"/>
      <c r="HJ188" s="19"/>
    </row>
    <row r="189" spans="11:218" x14ac:dyDescent="0.25">
      <c r="K189" s="91">
        <f>SUM(Table19[[#This Row],[Challenge 1]:[Challenge 50]])</f>
        <v>0</v>
      </c>
      <c r="L189" s="2">
        <f>SUM(Table19[[#This Row],[Club 1]:[Club 50]])</f>
        <v>0</v>
      </c>
      <c r="M189" s="2">
        <f>SUM(Table19[[#This Row],[Intra-school sports 1]:[Intra-school sports 50]])</f>
        <v>0</v>
      </c>
      <c r="N189" s="2">
        <f>SUM(Table19[[#This Row],[Inter School sports 1]:[Inter School sports 50]])</f>
        <v>0</v>
      </c>
      <c r="O189" s="91">
        <f>COUNTIF(Table19[[#This Row],[Community club (type name of club(s). All clubs will count as ''1'']],"*")</f>
        <v>0</v>
      </c>
      <c r="P189" s="91">
        <f>IF(OR(Table19[[#This Row],[Total Challenges]]&gt;0,Table19[[#This Row],[Total Ex-C Clubs]]&gt;0,Table19[[#This Row],[Total Intra-School Sports]]&gt;0,Table19[[#This Row],[Total Inter-School Sports]]&gt;0,Table19[[#This Row],[Community Clubs]]&gt;0),1,0)</f>
        <v>0</v>
      </c>
      <c r="HI189"/>
      <c r="HJ189" s="19"/>
    </row>
    <row r="190" spans="11:218" x14ac:dyDescent="0.25">
      <c r="K190" s="91">
        <f>SUM(Table19[[#This Row],[Challenge 1]:[Challenge 50]])</f>
        <v>0</v>
      </c>
      <c r="L190" s="2">
        <f>SUM(Table19[[#This Row],[Club 1]:[Club 50]])</f>
        <v>0</v>
      </c>
      <c r="M190" s="2">
        <f>SUM(Table19[[#This Row],[Intra-school sports 1]:[Intra-school sports 50]])</f>
        <v>0</v>
      </c>
      <c r="N190" s="2">
        <f>SUM(Table19[[#This Row],[Inter School sports 1]:[Inter School sports 50]])</f>
        <v>0</v>
      </c>
      <c r="O190" s="91">
        <f>COUNTIF(Table19[[#This Row],[Community club (type name of club(s). All clubs will count as ''1'']],"*")</f>
        <v>0</v>
      </c>
      <c r="P190" s="91">
        <f>IF(OR(Table19[[#This Row],[Total Challenges]]&gt;0,Table19[[#This Row],[Total Ex-C Clubs]]&gt;0,Table19[[#This Row],[Total Intra-School Sports]]&gt;0,Table19[[#This Row],[Total Inter-School Sports]]&gt;0,Table19[[#This Row],[Community Clubs]]&gt;0),1,0)</f>
        <v>0</v>
      </c>
      <c r="HI190"/>
      <c r="HJ190" s="19"/>
    </row>
    <row r="191" spans="11:218" x14ac:dyDescent="0.25">
      <c r="K191" s="91">
        <f>SUM(Table19[[#This Row],[Challenge 1]:[Challenge 50]])</f>
        <v>0</v>
      </c>
      <c r="L191" s="2">
        <f>SUM(Table19[[#This Row],[Club 1]:[Club 50]])</f>
        <v>0</v>
      </c>
      <c r="M191" s="2">
        <f>SUM(Table19[[#This Row],[Intra-school sports 1]:[Intra-school sports 50]])</f>
        <v>0</v>
      </c>
      <c r="N191" s="2">
        <f>SUM(Table19[[#This Row],[Inter School sports 1]:[Inter School sports 50]])</f>
        <v>0</v>
      </c>
      <c r="O191" s="91">
        <f>COUNTIF(Table19[[#This Row],[Community club (type name of club(s). All clubs will count as ''1'']],"*")</f>
        <v>0</v>
      </c>
      <c r="P191" s="91">
        <f>IF(OR(Table19[[#This Row],[Total Challenges]]&gt;0,Table19[[#This Row],[Total Ex-C Clubs]]&gt;0,Table19[[#This Row],[Total Intra-School Sports]]&gt;0,Table19[[#This Row],[Total Inter-School Sports]]&gt;0,Table19[[#This Row],[Community Clubs]]&gt;0),1,0)</f>
        <v>0</v>
      </c>
      <c r="HI191"/>
      <c r="HJ191" s="19"/>
    </row>
    <row r="192" spans="11:218" x14ac:dyDescent="0.25">
      <c r="K192" s="91">
        <f>SUM(Table19[[#This Row],[Challenge 1]:[Challenge 50]])</f>
        <v>0</v>
      </c>
      <c r="L192" s="2">
        <f>SUM(Table19[[#This Row],[Club 1]:[Club 50]])</f>
        <v>0</v>
      </c>
      <c r="M192" s="2">
        <f>SUM(Table19[[#This Row],[Intra-school sports 1]:[Intra-school sports 50]])</f>
        <v>0</v>
      </c>
      <c r="N192" s="2">
        <f>SUM(Table19[[#This Row],[Inter School sports 1]:[Inter School sports 50]])</f>
        <v>0</v>
      </c>
      <c r="O192" s="91">
        <f>COUNTIF(Table19[[#This Row],[Community club (type name of club(s). All clubs will count as ''1'']],"*")</f>
        <v>0</v>
      </c>
      <c r="P192" s="91">
        <f>IF(OR(Table19[[#This Row],[Total Challenges]]&gt;0,Table19[[#This Row],[Total Ex-C Clubs]]&gt;0,Table19[[#This Row],[Total Intra-School Sports]]&gt;0,Table19[[#This Row],[Total Inter-School Sports]]&gt;0,Table19[[#This Row],[Community Clubs]]&gt;0),1,0)</f>
        <v>0</v>
      </c>
      <c r="HI192"/>
      <c r="HJ192" s="19"/>
    </row>
    <row r="193" spans="11:218" x14ac:dyDescent="0.25">
      <c r="K193" s="91">
        <f>SUM(Table19[[#This Row],[Challenge 1]:[Challenge 50]])</f>
        <v>0</v>
      </c>
      <c r="L193" s="2">
        <f>SUM(Table19[[#This Row],[Club 1]:[Club 50]])</f>
        <v>0</v>
      </c>
      <c r="M193" s="2">
        <f>SUM(Table19[[#This Row],[Intra-school sports 1]:[Intra-school sports 50]])</f>
        <v>0</v>
      </c>
      <c r="N193" s="2">
        <f>SUM(Table19[[#This Row],[Inter School sports 1]:[Inter School sports 50]])</f>
        <v>0</v>
      </c>
      <c r="O193" s="91">
        <f>COUNTIF(Table19[[#This Row],[Community club (type name of club(s). All clubs will count as ''1'']],"*")</f>
        <v>0</v>
      </c>
      <c r="P193" s="91">
        <f>IF(OR(Table19[[#This Row],[Total Challenges]]&gt;0,Table19[[#This Row],[Total Ex-C Clubs]]&gt;0,Table19[[#This Row],[Total Intra-School Sports]]&gt;0,Table19[[#This Row],[Total Inter-School Sports]]&gt;0,Table19[[#This Row],[Community Clubs]]&gt;0),1,0)</f>
        <v>0</v>
      </c>
      <c r="HI193"/>
      <c r="HJ193" s="19"/>
    </row>
    <row r="194" spans="11:218" x14ac:dyDescent="0.25">
      <c r="K194" s="91">
        <f>SUM(Table19[[#This Row],[Challenge 1]:[Challenge 50]])</f>
        <v>0</v>
      </c>
      <c r="L194" s="2">
        <f>SUM(Table19[[#This Row],[Club 1]:[Club 50]])</f>
        <v>0</v>
      </c>
      <c r="M194" s="2">
        <f>SUM(Table19[[#This Row],[Intra-school sports 1]:[Intra-school sports 50]])</f>
        <v>0</v>
      </c>
      <c r="N194" s="2">
        <f>SUM(Table19[[#This Row],[Inter School sports 1]:[Inter School sports 50]])</f>
        <v>0</v>
      </c>
      <c r="O194" s="91">
        <f>COUNTIF(Table19[[#This Row],[Community club (type name of club(s). All clubs will count as ''1'']],"*")</f>
        <v>0</v>
      </c>
      <c r="P194" s="91">
        <f>IF(OR(Table19[[#This Row],[Total Challenges]]&gt;0,Table19[[#This Row],[Total Ex-C Clubs]]&gt;0,Table19[[#This Row],[Total Intra-School Sports]]&gt;0,Table19[[#This Row],[Total Inter-School Sports]]&gt;0,Table19[[#This Row],[Community Clubs]]&gt;0),1,0)</f>
        <v>0</v>
      </c>
      <c r="HI194"/>
      <c r="HJ194" s="19"/>
    </row>
    <row r="195" spans="11:218" x14ac:dyDescent="0.25">
      <c r="K195" s="91">
        <f>SUM(Table19[[#This Row],[Challenge 1]:[Challenge 50]])</f>
        <v>0</v>
      </c>
      <c r="L195" s="2">
        <f>SUM(Table19[[#This Row],[Club 1]:[Club 50]])</f>
        <v>0</v>
      </c>
      <c r="M195" s="2">
        <f>SUM(Table19[[#This Row],[Intra-school sports 1]:[Intra-school sports 50]])</f>
        <v>0</v>
      </c>
      <c r="N195" s="2">
        <f>SUM(Table19[[#This Row],[Inter School sports 1]:[Inter School sports 50]])</f>
        <v>0</v>
      </c>
      <c r="O195" s="91">
        <f>COUNTIF(Table19[[#This Row],[Community club (type name of club(s). All clubs will count as ''1'']],"*")</f>
        <v>0</v>
      </c>
      <c r="P195" s="91">
        <f>IF(OR(Table19[[#This Row],[Total Challenges]]&gt;0,Table19[[#This Row],[Total Ex-C Clubs]]&gt;0,Table19[[#This Row],[Total Intra-School Sports]]&gt;0,Table19[[#This Row],[Total Inter-School Sports]]&gt;0,Table19[[#This Row],[Community Clubs]]&gt;0),1,0)</f>
        <v>0</v>
      </c>
      <c r="HI195"/>
      <c r="HJ195" s="19"/>
    </row>
    <row r="196" spans="11:218" x14ac:dyDescent="0.25">
      <c r="K196" s="91">
        <f>SUM(Table19[[#This Row],[Challenge 1]:[Challenge 50]])</f>
        <v>0</v>
      </c>
      <c r="L196" s="2">
        <f>SUM(Table19[[#This Row],[Club 1]:[Club 50]])</f>
        <v>0</v>
      </c>
      <c r="M196" s="2">
        <f>SUM(Table19[[#This Row],[Intra-school sports 1]:[Intra-school sports 50]])</f>
        <v>0</v>
      </c>
      <c r="N196" s="2">
        <f>SUM(Table19[[#This Row],[Inter School sports 1]:[Inter School sports 50]])</f>
        <v>0</v>
      </c>
      <c r="O196" s="91">
        <f>COUNTIF(Table19[[#This Row],[Community club (type name of club(s). All clubs will count as ''1'']],"*")</f>
        <v>0</v>
      </c>
      <c r="P196" s="91">
        <f>IF(OR(Table19[[#This Row],[Total Challenges]]&gt;0,Table19[[#This Row],[Total Ex-C Clubs]]&gt;0,Table19[[#This Row],[Total Intra-School Sports]]&gt;0,Table19[[#This Row],[Total Inter-School Sports]]&gt;0,Table19[[#This Row],[Community Clubs]]&gt;0),1,0)</f>
        <v>0</v>
      </c>
      <c r="HI196"/>
      <c r="HJ196" s="19"/>
    </row>
    <row r="197" spans="11:218" x14ac:dyDescent="0.25">
      <c r="K197" s="91">
        <f>SUM(Table19[[#This Row],[Challenge 1]:[Challenge 50]])</f>
        <v>0</v>
      </c>
      <c r="L197" s="2">
        <f>SUM(Table19[[#This Row],[Club 1]:[Club 50]])</f>
        <v>0</v>
      </c>
      <c r="M197" s="2">
        <f>SUM(Table19[[#This Row],[Intra-school sports 1]:[Intra-school sports 50]])</f>
        <v>0</v>
      </c>
      <c r="N197" s="2">
        <f>SUM(Table19[[#This Row],[Inter School sports 1]:[Inter School sports 50]])</f>
        <v>0</v>
      </c>
      <c r="O197" s="91">
        <f>COUNTIF(Table19[[#This Row],[Community club (type name of club(s). All clubs will count as ''1'']],"*")</f>
        <v>0</v>
      </c>
      <c r="P197" s="91">
        <f>IF(OR(Table19[[#This Row],[Total Challenges]]&gt;0,Table19[[#This Row],[Total Ex-C Clubs]]&gt;0,Table19[[#This Row],[Total Intra-School Sports]]&gt;0,Table19[[#This Row],[Total Inter-School Sports]]&gt;0,Table19[[#This Row],[Community Clubs]]&gt;0),1,0)</f>
        <v>0</v>
      </c>
      <c r="HI197"/>
      <c r="HJ197" s="19"/>
    </row>
    <row r="198" spans="11:218" x14ac:dyDescent="0.25">
      <c r="K198" s="91">
        <f>SUM(Table19[[#This Row],[Challenge 1]:[Challenge 50]])</f>
        <v>0</v>
      </c>
      <c r="L198" s="2">
        <f>SUM(Table19[[#This Row],[Club 1]:[Club 50]])</f>
        <v>0</v>
      </c>
      <c r="M198" s="2">
        <f>SUM(Table19[[#This Row],[Intra-school sports 1]:[Intra-school sports 50]])</f>
        <v>0</v>
      </c>
      <c r="N198" s="2">
        <f>SUM(Table19[[#This Row],[Inter School sports 1]:[Inter School sports 50]])</f>
        <v>0</v>
      </c>
      <c r="O198" s="91">
        <f>COUNTIF(Table19[[#This Row],[Community club (type name of club(s). All clubs will count as ''1'']],"*")</f>
        <v>0</v>
      </c>
      <c r="P198" s="91">
        <f>IF(OR(Table19[[#This Row],[Total Challenges]]&gt;0,Table19[[#This Row],[Total Ex-C Clubs]]&gt;0,Table19[[#This Row],[Total Intra-School Sports]]&gt;0,Table19[[#This Row],[Total Inter-School Sports]]&gt;0,Table19[[#This Row],[Community Clubs]]&gt;0),1,0)</f>
        <v>0</v>
      </c>
      <c r="HI198"/>
      <c r="HJ198" s="19"/>
    </row>
    <row r="199" spans="11:218" x14ac:dyDescent="0.25">
      <c r="K199" s="91">
        <f>SUM(Table19[[#This Row],[Challenge 1]:[Challenge 50]])</f>
        <v>0</v>
      </c>
      <c r="L199" s="2">
        <f>SUM(Table19[[#This Row],[Club 1]:[Club 50]])</f>
        <v>0</v>
      </c>
      <c r="M199" s="2">
        <f>SUM(Table19[[#This Row],[Intra-school sports 1]:[Intra-school sports 50]])</f>
        <v>0</v>
      </c>
      <c r="N199" s="2">
        <f>SUM(Table19[[#This Row],[Inter School sports 1]:[Inter School sports 50]])</f>
        <v>0</v>
      </c>
      <c r="O199" s="91">
        <f>COUNTIF(Table19[[#This Row],[Community club (type name of club(s). All clubs will count as ''1'']],"*")</f>
        <v>0</v>
      </c>
      <c r="P199" s="91">
        <f>IF(OR(Table19[[#This Row],[Total Challenges]]&gt;0,Table19[[#This Row],[Total Ex-C Clubs]]&gt;0,Table19[[#This Row],[Total Intra-School Sports]]&gt;0,Table19[[#This Row],[Total Inter-School Sports]]&gt;0,Table19[[#This Row],[Community Clubs]]&gt;0),1,0)</f>
        <v>0</v>
      </c>
      <c r="HI199"/>
      <c r="HJ199" s="19"/>
    </row>
    <row r="200" spans="11:218" x14ac:dyDescent="0.25">
      <c r="K200" s="91">
        <f>SUM(Table19[[#This Row],[Challenge 1]:[Challenge 50]])</f>
        <v>0</v>
      </c>
      <c r="L200" s="2">
        <f>SUM(Table19[[#This Row],[Club 1]:[Club 50]])</f>
        <v>0</v>
      </c>
      <c r="M200" s="2">
        <f>SUM(Table19[[#This Row],[Intra-school sports 1]:[Intra-school sports 50]])</f>
        <v>0</v>
      </c>
      <c r="N200" s="2">
        <f>SUM(Table19[[#This Row],[Inter School sports 1]:[Inter School sports 50]])</f>
        <v>0</v>
      </c>
      <c r="O200" s="91">
        <f>COUNTIF(Table19[[#This Row],[Community club (type name of club(s). All clubs will count as ''1'']],"*")</f>
        <v>0</v>
      </c>
      <c r="P200" s="91">
        <f>IF(OR(Table19[[#This Row],[Total Challenges]]&gt;0,Table19[[#This Row],[Total Ex-C Clubs]]&gt;0,Table19[[#This Row],[Total Intra-School Sports]]&gt;0,Table19[[#This Row],[Total Inter-School Sports]]&gt;0,Table19[[#This Row],[Community Clubs]]&gt;0),1,0)</f>
        <v>0</v>
      </c>
      <c r="HI200"/>
      <c r="HJ200" s="19"/>
    </row>
    <row r="201" spans="11:218" x14ac:dyDescent="0.25">
      <c r="K201" s="91">
        <f>SUM(Table19[[#This Row],[Challenge 1]:[Challenge 50]])</f>
        <v>0</v>
      </c>
      <c r="L201" s="2">
        <f>SUM(Table19[[#This Row],[Club 1]:[Club 50]])</f>
        <v>0</v>
      </c>
      <c r="M201" s="2">
        <f>SUM(Table19[[#This Row],[Intra-school sports 1]:[Intra-school sports 50]])</f>
        <v>0</v>
      </c>
      <c r="N201" s="2">
        <f>SUM(Table19[[#This Row],[Inter School sports 1]:[Inter School sports 50]])</f>
        <v>0</v>
      </c>
      <c r="O201" s="91">
        <f>COUNTIF(Table19[[#This Row],[Community club (type name of club(s). All clubs will count as ''1'']],"*")</f>
        <v>0</v>
      </c>
      <c r="P201" s="91">
        <f>IF(OR(Table19[[#This Row],[Total Challenges]]&gt;0,Table19[[#This Row],[Total Ex-C Clubs]]&gt;0,Table19[[#This Row],[Total Intra-School Sports]]&gt;0,Table19[[#This Row],[Total Inter-School Sports]]&gt;0,Table19[[#This Row],[Community Clubs]]&gt;0),1,0)</f>
        <v>0</v>
      </c>
      <c r="HI201"/>
      <c r="HJ201" s="19"/>
    </row>
    <row r="202" spans="11:218" x14ac:dyDescent="0.25">
      <c r="K202" s="91">
        <f>SUM(Table19[[#This Row],[Challenge 1]:[Challenge 50]])</f>
        <v>0</v>
      </c>
      <c r="L202" s="2">
        <f>SUM(Table19[[#This Row],[Club 1]:[Club 50]])</f>
        <v>0</v>
      </c>
      <c r="M202" s="2">
        <f>SUM(Table19[[#This Row],[Intra-school sports 1]:[Intra-school sports 50]])</f>
        <v>0</v>
      </c>
      <c r="N202" s="2">
        <f>SUM(Table19[[#This Row],[Inter School sports 1]:[Inter School sports 50]])</f>
        <v>0</v>
      </c>
      <c r="O202" s="91">
        <f>COUNTIF(Table19[[#This Row],[Community club (type name of club(s). All clubs will count as ''1'']],"*")</f>
        <v>0</v>
      </c>
      <c r="P202" s="91">
        <f>IF(OR(Table19[[#This Row],[Total Challenges]]&gt;0,Table19[[#This Row],[Total Ex-C Clubs]]&gt;0,Table19[[#This Row],[Total Intra-School Sports]]&gt;0,Table19[[#This Row],[Total Inter-School Sports]]&gt;0,Table19[[#This Row],[Community Clubs]]&gt;0),1,0)</f>
        <v>0</v>
      </c>
      <c r="HI202"/>
      <c r="HJ202" s="19"/>
    </row>
    <row r="203" spans="11:218" x14ac:dyDescent="0.25">
      <c r="K203" s="91">
        <f>SUM(Table19[[#This Row],[Challenge 1]:[Challenge 50]])</f>
        <v>0</v>
      </c>
      <c r="L203" s="2">
        <f>SUM(Table19[[#This Row],[Club 1]:[Club 50]])</f>
        <v>0</v>
      </c>
      <c r="M203" s="2">
        <f>SUM(Table19[[#This Row],[Intra-school sports 1]:[Intra-school sports 50]])</f>
        <v>0</v>
      </c>
      <c r="N203" s="2">
        <f>SUM(Table19[[#This Row],[Inter School sports 1]:[Inter School sports 50]])</f>
        <v>0</v>
      </c>
      <c r="O203" s="91">
        <f>COUNTIF(Table19[[#This Row],[Community club (type name of club(s). All clubs will count as ''1'']],"*")</f>
        <v>0</v>
      </c>
      <c r="P203" s="91">
        <f>IF(OR(Table19[[#This Row],[Total Challenges]]&gt;0,Table19[[#This Row],[Total Ex-C Clubs]]&gt;0,Table19[[#This Row],[Total Intra-School Sports]]&gt;0,Table19[[#This Row],[Total Inter-School Sports]]&gt;0,Table19[[#This Row],[Community Clubs]]&gt;0),1,0)</f>
        <v>0</v>
      </c>
      <c r="HI203"/>
      <c r="HJ203" s="19"/>
    </row>
    <row r="204" spans="11:218" x14ac:dyDescent="0.25">
      <c r="K204" s="91">
        <f>SUM(Table19[[#This Row],[Challenge 1]:[Challenge 50]])</f>
        <v>0</v>
      </c>
      <c r="L204" s="2">
        <f>SUM(Table19[[#This Row],[Club 1]:[Club 50]])</f>
        <v>0</v>
      </c>
      <c r="M204" s="2">
        <f>SUM(Table19[[#This Row],[Intra-school sports 1]:[Intra-school sports 50]])</f>
        <v>0</v>
      </c>
      <c r="N204" s="2">
        <f>SUM(Table19[[#This Row],[Inter School sports 1]:[Inter School sports 50]])</f>
        <v>0</v>
      </c>
      <c r="O204" s="91">
        <f>COUNTIF(Table19[[#This Row],[Community club (type name of club(s). All clubs will count as ''1'']],"*")</f>
        <v>0</v>
      </c>
      <c r="P204" s="91">
        <f>IF(OR(Table19[[#This Row],[Total Challenges]]&gt;0,Table19[[#This Row],[Total Ex-C Clubs]]&gt;0,Table19[[#This Row],[Total Intra-School Sports]]&gt;0,Table19[[#This Row],[Total Inter-School Sports]]&gt;0,Table19[[#This Row],[Community Clubs]]&gt;0),1,0)</f>
        <v>0</v>
      </c>
      <c r="HI204"/>
      <c r="HJ204" s="19"/>
    </row>
    <row r="205" spans="11:218" x14ac:dyDescent="0.25">
      <c r="K205" s="91">
        <f>SUM(Table19[[#This Row],[Challenge 1]:[Challenge 50]])</f>
        <v>0</v>
      </c>
      <c r="L205" s="2">
        <f>SUM(Table19[[#This Row],[Club 1]:[Club 50]])</f>
        <v>0</v>
      </c>
      <c r="M205" s="2">
        <f>SUM(Table19[[#This Row],[Intra-school sports 1]:[Intra-school sports 50]])</f>
        <v>0</v>
      </c>
      <c r="N205" s="2">
        <f>SUM(Table19[[#This Row],[Inter School sports 1]:[Inter School sports 50]])</f>
        <v>0</v>
      </c>
      <c r="O205" s="91">
        <f>COUNTIF(Table19[[#This Row],[Community club (type name of club(s). All clubs will count as ''1'']],"*")</f>
        <v>0</v>
      </c>
      <c r="P205" s="91">
        <f>IF(OR(Table19[[#This Row],[Total Challenges]]&gt;0,Table19[[#This Row],[Total Ex-C Clubs]]&gt;0,Table19[[#This Row],[Total Intra-School Sports]]&gt;0,Table19[[#This Row],[Total Inter-School Sports]]&gt;0,Table19[[#This Row],[Community Clubs]]&gt;0),1,0)</f>
        <v>0</v>
      </c>
      <c r="HI205"/>
      <c r="HJ205" s="19"/>
    </row>
    <row r="206" spans="11:218" x14ac:dyDescent="0.25">
      <c r="K206" s="91">
        <f>SUM(Table19[[#This Row],[Challenge 1]:[Challenge 50]])</f>
        <v>0</v>
      </c>
      <c r="L206" s="2">
        <f>SUM(Table19[[#This Row],[Club 1]:[Club 50]])</f>
        <v>0</v>
      </c>
      <c r="M206" s="2">
        <f>SUM(Table19[[#This Row],[Intra-school sports 1]:[Intra-school sports 50]])</f>
        <v>0</v>
      </c>
      <c r="N206" s="2">
        <f>SUM(Table19[[#This Row],[Inter School sports 1]:[Inter School sports 50]])</f>
        <v>0</v>
      </c>
      <c r="O206" s="91">
        <f>COUNTIF(Table19[[#This Row],[Community club (type name of club(s). All clubs will count as ''1'']],"*")</f>
        <v>0</v>
      </c>
      <c r="P206" s="91">
        <f>IF(OR(Table19[[#This Row],[Total Challenges]]&gt;0,Table19[[#This Row],[Total Ex-C Clubs]]&gt;0,Table19[[#This Row],[Total Intra-School Sports]]&gt;0,Table19[[#This Row],[Total Inter-School Sports]]&gt;0,Table19[[#This Row],[Community Clubs]]&gt;0),1,0)</f>
        <v>0</v>
      </c>
      <c r="HI206"/>
      <c r="HJ206" s="19"/>
    </row>
    <row r="207" spans="11:218" x14ac:dyDescent="0.25">
      <c r="K207" s="91">
        <f>SUM(Table19[[#This Row],[Challenge 1]:[Challenge 50]])</f>
        <v>0</v>
      </c>
      <c r="L207" s="2">
        <f>SUM(Table19[[#This Row],[Club 1]:[Club 50]])</f>
        <v>0</v>
      </c>
      <c r="M207" s="2">
        <f>SUM(Table19[[#This Row],[Intra-school sports 1]:[Intra-school sports 50]])</f>
        <v>0</v>
      </c>
      <c r="N207" s="2">
        <f>SUM(Table19[[#This Row],[Inter School sports 1]:[Inter School sports 50]])</f>
        <v>0</v>
      </c>
      <c r="O207" s="91">
        <f>COUNTIF(Table19[[#This Row],[Community club (type name of club(s). All clubs will count as ''1'']],"*")</f>
        <v>0</v>
      </c>
      <c r="P207" s="91">
        <f>IF(OR(Table19[[#This Row],[Total Challenges]]&gt;0,Table19[[#This Row],[Total Ex-C Clubs]]&gt;0,Table19[[#This Row],[Total Intra-School Sports]]&gt;0,Table19[[#This Row],[Total Inter-School Sports]]&gt;0,Table19[[#This Row],[Community Clubs]]&gt;0),1,0)</f>
        <v>0</v>
      </c>
      <c r="HI207"/>
      <c r="HJ207" s="19"/>
    </row>
    <row r="208" spans="11:218" x14ac:dyDescent="0.25">
      <c r="K208" s="91">
        <f>SUM(Table19[[#This Row],[Challenge 1]:[Challenge 50]])</f>
        <v>0</v>
      </c>
      <c r="L208" s="2">
        <f>SUM(Table19[[#This Row],[Club 1]:[Club 50]])</f>
        <v>0</v>
      </c>
      <c r="M208" s="2">
        <f>SUM(Table19[[#This Row],[Intra-school sports 1]:[Intra-school sports 50]])</f>
        <v>0</v>
      </c>
      <c r="N208" s="2">
        <f>SUM(Table19[[#This Row],[Inter School sports 1]:[Inter School sports 50]])</f>
        <v>0</v>
      </c>
      <c r="O208" s="91">
        <f>COUNTIF(Table19[[#This Row],[Community club (type name of club(s). All clubs will count as ''1'']],"*")</f>
        <v>0</v>
      </c>
      <c r="P208" s="91">
        <f>IF(OR(Table19[[#This Row],[Total Challenges]]&gt;0,Table19[[#This Row],[Total Ex-C Clubs]]&gt;0,Table19[[#This Row],[Total Intra-School Sports]]&gt;0,Table19[[#This Row],[Total Inter-School Sports]]&gt;0,Table19[[#This Row],[Community Clubs]]&gt;0),1,0)</f>
        <v>0</v>
      </c>
      <c r="HI208"/>
      <c r="HJ208" s="19"/>
    </row>
    <row r="209" spans="1:218" x14ac:dyDescent="0.25">
      <c r="K209" s="91">
        <f>SUM(Table19[[#This Row],[Challenge 1]:[Challenge 50]])</f>
        <v>0</v>
      </c>
      <c r="L209" s="2">
        <f>SUM(Table19[[#This Row],[Club 1]:[Club 50]])</f>
        <v>0</v>
      </c>
      <c r="M209" s="2">
        <f>SUM(Table19[[#This Row],[Intra-school sports 1]:[Intra-school sports 50]])</f>
        <v>0</v>
      </c>
      <c r="N209" s="2">
        <f>SUM(Table19[[#This Row],[Inter School sports 1]:[Inter School sports 50]])</f>
        <v>0</v>
      </c>
      <c r="O209" s="91">
        <f>COUNTIF(Table19[[#This Row],[Community club (type name of club(s). All clubs will count as ''1'']],"*")</f>
        <v>0</v>
      </c>
      <c r="P209" s="91">
        <f>IF(OR(Table19[[#This Row],[Total Challenges]]&gt;0,Table19[[#This Row],[Total Ex-C Clubs]]&gt;0,Table19[[#This Row],[Total Intra-School Sports]]&gt;0,Table19[[#This Row],[Total Inter-School Sports]]&gt;0,Table19[[#This Row],[Community Clubs]]&gt;0),1,0)</f>
        <v>0</v>
      </c>
      <c r="HI209"/>
      <c r="HJ209" s="19"/>
    </row>
    <row r="210" spans="1:218" x14ac:dyDescent="0.25">
      <c r="K210" s="91">
        <f>SUM(Table19[[#This Row],[Challenge 1]:[Challenge 50]])</f>
        <v>0</v>
      </c>
      <c r="L210" s="2">
        <f>SUM(Table19[[#This Row],[Club 1]:[Club 50]])</f>
        <v>0</v>
      </c>
      <c r="M210" s="2">
        <f>SUM(Table19[[#This Row],[Intra-school sports 1]:[Intra-school sports 50]])</f>
        <v>0</v>
      </c>
      <c r="N210" s="2">
        <f>SUM(Table19[[#This Row],[Inter School sports 1]:[Inter School sports 50]])</f>
        <v>0</v>
      </c>
      <c r="O210" s="91">
        <f>COUNTIF(Table19[[#This Row],[Community club (type name of club(s). All clubs will count as ''1'']],"*")</f>
        <v>0</v>
      </c>
      <c r="P210" s="91">
        <f>IF(OR(Table19[[#This Row],[Total Challenges]]&gt;0,Table19[[#This Row],[Total Ex-C Clubs]]&gt;0,Table19[[#This Row],[Total Intra-School Sports]]&gt;0,Table19[[#This Row],[Total Inter-School Sports]]&gt;0,Table19[[#This Row],[Community Clubs]]&gt;0),1,0)</f>
        <v>0</v>
      </c>
      <c r="HI210"/>
      <c r="HJ210" s="19"/>
    </row>
    <row r="211" spans="1:218" x14ac:dyDescent="0.25">
      <c r="K211" s="91">
        <f>SUM(Table19[[#This Row],[Challenge 1]:[Challenge 50]])</f>
        <v>0</v>
      </c>
      <c r="L211" s="2">
        <f>SUM(Table19[[#This Row],[Club 1]:[Club 50]])</f>
        <v>0</v>
      </c>
      <c r="M211" s="2">
        <f>SUM(Table19[[#This Row],[Intra-school sports 1]:[Intra-school sports 50]])</f>
        <v>0</v>
      </c>
      <c r="N211" s="2">
        <f>SUM(Table19[[#This Row],[Inter School sports 1]:[Inter School sports 50]])</f>
        <v>0</v>
      </c>
      <c r="O211" s="91">
        <f>COUNTIF(Table19[[#This Row],[Community club (type name of club(s). All clubs will count as ''1'']],"*")</f>
        <v>0</v>
      </c>
      <c r="P211" s="91">
        <f>IF(OR(Table19[[#This Row],[Total Challenges]]&gt;0,Table19[[#This Row],[Total Ex-C Clubs]]&gt;0,Table19[[#This Row],[Total Intra-School Sports]]&gt;0,Table19[[#This Row],[Total Inter-School Sports]]&gt;0,Table19[[#This Row],[Community Clubs]]&gt;0),1,0)</f>
        <v>0</v>
      </c>
      <c r="HI211"/>
      <c r="HJ211" s="19"/>
    </row>
    <row r="212" spans="1:218" x14ac:dyDescent="0.25">
      <c r="K212" s="91">
        <f>SUM(Table19[[#This Row],[Challenge 1]:[Challenge 50]])</f>
        <v>0</v>
      </c>
      <c r="L212" s="2">
        <f>SUM(Table19[[#This Row],[Club 1]:[Club 50]])</f>
        <v>0</v>
      </c>
      <c r="M212" s="2">
        <f>SUM(Table19[[#This Row],[Intra-school sports 1]:[Intra-school sports 50]])</f>
        <v>0</v>
      </c>
      <c r="N212" s="2">
        <f>SUM(Table19[[#This Row],[Inter School sports 1]:[Inter School sports 50]])</f>
        <v>0</v>
      </c>
      <c r="O212" s="91">
        <f>COUNTIF(Table19[[#This Row],[Community club (type name of club(s). All clubs will count as ''1'']],"*")</f>
        <v>0</v>
      </c>
      <c r="P212" s="91">
        <f>IF(OR(Table19[[#This Row],[Total Challenges]]&gt;0,Table19[[#This Row],[Total Ex-C Clubs]]&gt;0,Table19[[#This Row],[Total Intra-School Sports]]&gt;0,Table19[[#This Row],[Total Inter-School Sports]]&gt;0,Table19[[#This Row],[Community Clubs]]&gt;0),1,0)</f>
        <v>0</v>
      </c>
      <c r="HI212"/>
      <c r="HJ212" s="19"/>
    </row>
    <row r="213" spans="1:218" x14ac:dyDescent="0.25">
      <c r="K213" s="91">
        <f>SUM(Table19[[#This Row],[Challenge 1]:[Challenge 50]])</f>
        <v>0</v>
      </c>
      <c r="L213" s="2">
        <f>SUM(Table19[[#This Row],[Club 1]:[Club 50]])</f>
        <v>0</v>
      </c>
      <c r="M213" s="2">
        <f>SUM(Table19[[#This Row],[Intra-school sports 1]:[Intra-school sports 50]])</f>
        <v>0</v>
      </c>
      <c r="N213" s="2">
        <f>SUM(Table19[[#This Row],[Inter School sports 1]:[Inter School sports 50]])</f>
        <v>0</v>
      </c>
      <c r="O213" s="91">
        <f>COUNTIF(Table19[[#This Row],[Community club (type name of club(s). All clubs will count as ''1'']],"*")</f>
        <v>0</v>
      </c>
      <c r="P213" s="91">
        <f>IF(OR(Table19[[#This Row],[Total Challenges]]&gt;0,Table19[[#This Row],[Total Ex-C Clubs]]&gt;0,Table19[[#This Row],[Total Intra-School Sports]]&gt;0,Table19[[#This Row],[Total Inter-School Sports]]&gt;0,Table19[[#This Row],[Community Clubs]]&gt;0),1,0)</f>
        <v>0</v>
      </c>
      <c r="HI213"/>
      <c r="HJ213" s="19"/>
    </row>
    <row r="214" spans="1:218" x14ac:dyDescent="0.25">
      <c r="K214" s="91">
        <f>SUM(Table19[[#This Row],[Challenge 1]:[Challenge 50]])</f>
        <v>0</v>
      </c>
      <c r="L214" s="2">
        <f>SUM(Table19[[#This Row],[Club 1]:[Club 50]])</f>
        <v>0</v>
      </c>
      <c r="M214" s="2">
        <f>SUM(Table19[[#This Row],[Intra-school sports 1]:[Intra-school sports 50]])</f>
        <v>0</v>
      </c>
      <c r="N214" s="2">
        <f>SUM(Table19[[#This Row],[Inter School sports 1]:[Inter School sports 50]])</f>
        <v>0</v>
      </c>
      <c r="O214" s="91">
        <f>COUNTIF(Table19[[#This Row],[Community club (type name of club(s). All clubs will count as ''1'']],"*")</f>
        <v>0</v>
      </c>
      <c r="P214" s="91">
        <f>IF(OR(Table19[[#This Row],[Total Challenges]]&gt;0,Table19[[#This Row],[Total Ex-C Clubs]]&gt;0,Table19[[#This Row],[Total Intra-School Sports]]&gt;0,Table19[[#This Row],[Total Inter-School Sports]]&gt;0,Table19[[#This Row],[Community Clubs]]&gt;0),1,0)</f>
        <v>0</v>
      </c>
      <c r="HI214"/>
      <c r="HJ214" s="19"/>
    </row>
    <row r="215" spans="1:218" x14ac:dyDescent="0.25">
      <c r="K215" s="91">
        <f>SUM(Table19[[#This Row],[Challenge 1]:[Challenge 50]])</f>
        <v>0</v>
      </c>
      <c r="L215" s="2">
        <f>SUM(Table19[[#This Row],[Club 1]:[Club 50]])</f>
        <v>0</v>
      </c>
      <c r="M215" s="2">
        <f>SUM(Table19[[#This Row],[Intra-school sports 1]:[Intra-school sports 50]])</f>
        <v>0</v>
      </c>
      <c r="N215" s="2">
        <f>SUM(Table19[[#This Row],[Inter School sports 1]:[Inter School sports 50]])</f>
        <v>0</v>
      </c>
      <c r="O215" s="91">
        <f>COUNTIF(Table19[[#This Row],[Community club (type name of club(s). All clubs will count as ''1'']],"*")</f>
        <v>0</v>
      </c>
      <c r="P215" s="91">
        <f>IF(OR(Table19[[#This Row],[Total Challenges]]&gt;0,Table19[[#This Row],[Total Ex-C Clubs]]&gt;0,Table19[[#This Row],[Total Intra-School Sports]]&gt;0,Table19[[#This Row],[Total Inter-School Sports]]&gt;0,Table19[[#This Row],[Community Clubs]]&gt;0),1,0)</f>
        <v>0</v>
      </c>
      <c r="HI215"/>
      <c r="HJ215" s="19"/>
    </row>
    <row r="216" spans="1:218" x14ac:dyDescent="0.25">
      <c r="K216" s="91">
        <f>SUM(Table19[[#This Row],[Challenge 1]:[Challenge 50]])</f>
        <v>0</v>
      </c>
      <c r="L216" s="2">
        <f>SUM(Table19[[#This Row],[Club 1]:[Club 50]])</f>
        <v>0</v>
      </c>
      <c r="M216" s="2">
        <f>SUM(Table19[[#This Row],[Intra-school sports 1]:[Intra-school sports 50]])</f>
        <v>0</v>
      </c>
      <c r="N216" s="2">
        <f>SUM(Table19[[#This Row],[Inter School sports 1]:[Inter School sports 50]])</f>
        <v>0</v>
      </c>
      <c r="O216" s="91">
        <f>COUNTIF(Table19[[#This Row],[Community club (type name of club(s). All clubs will count as ''1'']],"*")</f>
        <v>0</v>
      </c>
      <c r="P216" s="91">
        <f>IF(OR(Table19[[#This Row],[Total Challenges]]&gt;0,Table19[[#This Row],[Total Ex-C Clubs]]&gt;0,Table19[[#This Row],[Total Intra-School Sports]]&gt;0,Table19[[#This Row],[Total Inter-School Sports]]&gt;0,Table19[[#This Row],[Community Clubs]]&gt;0),1,0)</f>
        <v>0</v>
      </c>
      <c r="HI216"/>
      <c r="HJ216" s="19"/>
    </row>
    <row r="217" spans="1:218" x14ac:dyDescent="0.25">
      <c r="K217" s="91">
        <f>SUM(Table19[[#This Row],[Challenge 1]:[Challenge 50]])</f>
        <v>0</v>
      </c>
      <c r="L217" s="2">
        <f>SUM(Table19[[#This Row],[Club 1]:[Club 50]])</f>
        <v>0</v>
      </c>
      <c r="M217" s="2">
        <f>SUM(Table19[[#This Row],[Intra-school sports 1]:[Intra-school sports 50]])</f>
        <v>0</v>
      </c>
      <c r="N217" s="2">
        <f>SUM(Table19[[#This Row],[Inter School sports 1]:[Inter School sports 50]])</f>
        <v>0</v>
      </c>
      <c r="O217" s="91">
        <f>COUNTIF(Table19[[#This Row],[Community club (type name of club(s). All clubs will count as ''1'']],"*")</f>
        <v>0</v>
      </c>
      <c r="P217" s="91">
        <f>IF(OR(Table19[[#This Row],[Total Challenges]]&gt;0,Table19[[#This Row],[Total Ex-C Clubs]]&gt;0,Table19[[#This Row],[Total Intra-School Sports]]&gt;0,Table19[[#This Row],[Total Inter-School Sports]]&gt;0,Table19[[#This Row],[Community Clubs]]&gt;0),1,0)</f>
        <v>0</v>
      </c>
      <c r="HI217"/>
      <c r="HJ217" s="19"/>
    </row>
    <row r="218" spans="1:218" x14ac:dyDescent="0.25">
      <c r="K218" s="91">
        <f>SUM(Table19[[#This Row],[Challenge 1]:[Challenge 50]])</f>
        <v>0</v>
      </c>
      <c r="L218" s="2">
        <f>SUM(Table19[[#This Row],[Club 1]:[Club 50]])</f>
        <v>0</v>
      </c>
      <c r="M218" s="2">
        <f>SUM(Table19[[#This Row],[Intra-school sports 1]:[Intra-school sports 50]])</f>
        <v>0</v>
      </c>
      <c r="N218" s="2">
        <f>SUM(Table19[[#This Row],[Inter School sports 1]:[Inter School sports 50]])</f>
        <v>0</v>
      </c>
      <c r="O218" s="91">
        <f>COUNTIF(Table19[[#This Row],[Community club (type name of club(s). All clubs will count as ''1'']],"*")</f>
        <v>0</v>
      </c>
      <c r="P218" s="91">
        <f>IF(OR(Table19[[#This Row],[Total Challenges]]&gt;0,Table19[[#This Row],[Total Ex-C Clubs]]&gt;0,Table19[[#This Row],[Total Intra-School Sports]]&gt;0,Table19[[#This Row],[Total Inter-School Sports]]&gt;0,Table19[[#This Row],[Community Clubs]]&gt;0),1,0)</f>
        <v>0</v>
      </c>
      <c r="HI218"/>
      <c r="HJ218" s="19"/>
    </row>
    <row r="219" spans="1:218" x14ac:dyDescent="0.25">
      <c r="K219" s="91">
        <f>SUM(Table19[[#This Row],[Challenge 1]:[Challenge 50]])</f>
        <v>0</v>
      </c>
      <c r="L219" s="2">
        <f>SUM(Table19[[#This Row],[Club 1]:[Club 50]])</f>
        <v>0</v>
      </c>
      <c r="M219" s="2">
        <f>SUM(Table19[[#This Row],[Intra-school sports 1]:[Intra-school sports 50]])</f>
        <v>0</v>
      </c>
      <c r="N219" s="2">
        <f>SUM(Table19[[#This Row],[Inter School sports 1]:[Inter School sports 50]])</f>
        <v>0</v>
      </c>
      <c r="O219" s="91">
        <f>COUNTIF(Table19[[#This Row],[Community club (type name of club(s). All clubs will count as ''1'']],"*")</f>
        <v>0</v>
      </c>
      <c r="P219" s="91">
        <f>IF(OR(Table19[[#This Row],[Total Challenges]]&gt;0,Table19[[#This Row],[Total Ex-C Clubs]]&gt;0,Table19[[#This Row],[Total Intra-School Sports]]&gt;0,Table19[[#This Row],[Total Inter-School Sports]]&gt;0,Table19[[#This Row],[Community Clubs]]&gt;0),1,0)</f>
        <v>0</v>
      </c>
      <c r="HI219"/>
      <c r="HJ219" s="19"/>
    </row>
    <row r="220" spans="1:218" x14ac:dyDescent="0.25">
      <c r="K220" s="91">
        <f>SUM(Table19[[#This Row],[Challenge 1]:[Challenge 50]])</f>
        <v>0</v>
      </c>
      <c r="L220" s="2">
        <f>SUM(Table19[[#This Row],[Club 1]:[Club 50]])</f>
        <v>0</v>
      </c>
      <c r="M220" s="2">
        <f>SUM(Table19[[#This Row],[Intra-school sports 1]:[Intra-school sports 50]])</f>
        <v>0</v>
      </c>
      <c r="N220" s="2">
        <f>SUM(Table19[[#This Row],[Inter School sports 1]:[Inter School sports 50]])</f>
        <v>0</v>
      </c>
      <c r="O220" s="91">
        <f>COUNTIF(Table19[[#This Row],[Community club (type name of club(s). All clubs will count as ''1'']],"*")</f>
        <v>0</v>
      </c>
      <c r="P220" s="91">
        <f>IF(OR(Table19[[#This Row],[Total Challenges]]&gt;0,Table19[[#This Row],[Total Ex-C Clubs]]&gt;0,Table19[[#This Row],[Total Intra-School Sports]]&gt;0,Table19[[#This Row],[Total Inter-School Sports]]&gt;0,Table19[[#This Row],[Community Clubs]]&gt;0),1,0)</f>
        <v>0</v>
      </c>
      <c r="HI220"/>
      <c r="HJ220" s="19"/>
    </row>
    <row r="221" spans="1:218" x14ac:dyDescent="0.25">
      <c r="A221" t="s">
        <v>57</v>
      </c>
      <c r="E221">
        <f>SUBTOTAL(109,Table19[FSM / PP])</f>
        <v>5</v>
      </c>
      <c r="F221">
        <f>SUBTOTAL(109,Table19[Ethnically Diverse])</f>
        <v>0</v>
      </c>
      <c r="G221">
        <f>SUBTOTAL(109,Table19[EAL])</f>
        <v>1</v>
      </c>
      <c r="H221">
        <f>SUBTOTAL(109,Table19[SEN])</f>
        <v>0</v>
      </c>
      <c r="I221">
        <f>SUBTOTAL(109,Table19[Young Leader])</f>
        <v>1</v>
      </c>
      <c r="J221">
        <f>SUBTOTAL(109,Table19[Least active])</f>
        <v>1</v>
      </c>
      <c r="K221" s="92">
        <f>SUBTOTAL(109,Table19[Total Challenges])</f>
        <v>5</v>
      </c>
      <c r="L221" s="92">
        <f>SUBTOTAL(109,Table19[Total Ex-C Clubs])</f>
        <v>4</v>
      </c>
      <c r="M221" s="92">
        <f>SUBTOTAL(109,Table19[Total Intra-School Sports])</f>
        <v>3</v>
      </c>
      <c r="N221" s="92">
        <f>SUBTOTAL(109,Table19[Total Inter-School Sports])</f>
        <v>5</v>
      </c>
      <c r="O221" s="92">
        <f>SUBTOTAL(109,Table19[Community Clubs])</f>
        <v>1</v>
      </c>
      <c r="P221" s="92">
        <f>SUBTOTAL(109,Table19[Active Opportunity])</f>
        <v>5</v>
      </c>
      <c r="Q221">
        <f>SUBTOTAL(109,Table19[Challenge 1])</f>
        <v>5</v>
      </c>
      <c r="R221">
        <f>SUBTOTAL(109,Table19[Challenge 2])</f>
        <v>0</v>
      </c>
      <c r="S221">
        <f>SUBTOTAL(109,Table19[Challenge 3])</f>
        <v>0</v>
      </c>
      <c r="T221">
        <f>SUBTOTAL(109,Table19[Challenge 4])</f>
        <v>0</v>
      </c>
      <c r="U221">
        <f>SUBTOTAL(109,Table19[Challenge 5])</f>
        <v>0</v>
      </c>
      <c r="V221">
        <f>SUBTOTAL(109,Table19[Challenge 6])</f>
        <v>0</v>
      </c>
      <c r="W221">
        <f>SUBTOTAL(109,Table19[Challenge 7])</f>
        <v>0</v>
      </c>
      <c r="X221">
        <f>SUBTOTAL(109,Table19[Challenge 8])</f>
        <v>0</v>
      </c>
      <c r="Y221">
        <f>SUBTOTAL(109,Table19[Challenge 9])</f>
        <v>0</v>
      </c>
      <c r="Z221">
        <f>SUBTOTAL(109,Table19[Challenge 10])</f>
        <v>0</v>
      </c>
      <c r="AA221">
        <f>SUBTOTAL(109,Table19[Challenge 11])</f>
        <v>0</v>
      </c>
      <c r="AB221">
        <f>SUBTOTAL(109,Table19[Challenge 12])</f>
        <v>0</v>
      </c>
      <c r="AC221">
        <f>SUBTOTAL(109,Table19[Challenge 13])</f>
        <v>0</v>
      </c>
      <c r="AD221">
        <f>SUBTOTAL(109,Table19[Challenge 14])</f>
        <v>0</v>
      </c>
      <c r="AE221">
        <f>SUBTOTAL(109,Table19[Challenge 15])</f>
        <v>0</v>
      </c>
      <c r="AF221">
        <f>SUBTOTAL(109,Table19[Challenge 16])</f>
        <v>0</v>
      </c>
      <c r="AG221">
        <f>SUBTOTAL(109,Table19[Challenge 17])</f>
        <v>0</v>
      </c>
      <c r="AH221">
        <f>SUBTOTAL(109,Table19[Challenge 18])</f>
        <v>0</v>
      </c>
      <c r="AI221">
        <f>SUBTOTAL(109,Table19[Challenge 19])</f>
        <v>0</v>
      </c>
      <c r="AJ221">
        <f>SUBTOTAL(109,Table19[Challenge 20])</f>
        <v>0</v>
      </c>
      <c r="AK221">
        <f>SUBTOTAL(109,Table19[Challenge 21])</f>
        <v>0</v>
      </c>
      <c r="AL221">
        <f>SUBTOTAL(109,Table19[Challenge 22])</f>
        <v>0</v>
      </c>
      <c r="AM221">
        <f>SUBTOTAL(109,Table19[Challenge 23])</f>
        <v>0</v>
      </c>
      <c r="AN221">
        <f>SUBTOTAL(109,Table19[Challenge 24])</f>
        <v>0</v>
      </c>
      <c r="AO221">
        <f>SUBTOTAL(109,Table19[Challenge 25])</f>
        <v>0</v>
      </c>
      <c r="AP221">
        <f>SUBTOTAL(109,Table19[Challenge 26])</f>
        <v>0</v>
      </c>
      <c r="AQ221">
        <f>SUBTOTAL(109,Table19[Challenge 27])</f>
        <v>0</v>
      </c>
      <c r="AR221">
        <f>SUBTOTAL(109,Table19[Challenge 28])</f>
        <v>0</v>
      </c>
      <c r="AS221">
        <f>SUBTOTAL(109,Table19[Challenge 29])</f>
        <v>0</v>
      </c>
      <c r="AT221">
        <f>SUBTOTAL(109,Table19[Challenge 30])</f>
        <v>0</v>
      </c>
      <c r="AU221">
        <f>SUBTOTAL(109,Table19[Challenge 31])</f>
        <v>0</v>
      </c>
      <c r="AV221">
        <f>SUBTOTAL(109,Table19[Challenge 32])</f>
        <v>0</v>
      </c>
      <c r="AW221">
        <f>SUBTOTAL(109,Table19[Challenge 33])</f>
        <v>0</v>
      </c>
      <c r="AX221">
        <f>SUBTOTAL(109,Table19[Challenge 34])</f>
        <v>0</v>
      </c>
      <c r="AY221">
        <f>SUBTOTAL(109,Table19[Challenge 35])</f>
        <v>0</v>
      </c>
      <c r="AZ221">
        <f>SUBTOTAL(109,Table19[Challenge 36])</f>
        <v>0</v>
      </c>
      <c r="BA221">
        <f>SUBTOTAL(109,Table19[Challenge 37])</f>
        <v>0</v>
      </c>
      <c r="BB221">
        <f>SUBTOTAL(109,Table19[Challenge 38])</f>
        <v>0</v>
      </c>
      <c r="BC221">
        <f>SUBTOTAL(109,Table19[Challenge 39])</f>
        <v>0</v>
      </c>
      <c r="BD221">
        <f>SUBTOTAL(109,Table19[Challenge 40])</f>
        <v>0</v>
      </c>
      <c r="BE221">
        <f>SUBTOTAL(109,Table19[Challenge 41])</f>
        <v>0</v>
      </c>
      <c r="BF221">
        <f>SUBTOTAL(109,Table19[Challenge 42])</f>
        <v>0</v>
      </c>
      <c r="BG221">
        <f>SUBTOTAL(109,Table19[Challenge 43])</f>
        <v>0</v>
      </c>
      <c r="BH221">
        <f>SUBTOTAL(109,Table19[Challenge 44])</f>
        <v>0</v>
      </c>
      <c r="BI221">
        <f>SUBTOTAL(109,Table19[Challenge 45])</f>
        <v>0</v>
      </c>
      <c r="BJ221">
        <f>SUBTOTAL(109,Table19[Challenge 46])</f>
        <v>0</v>
      </c>
      <c r="BK221">
        <f>SUBTOTAL(109,Table19[Challenge 47])</f>
        <v>0</v>
      </c>
      <c r="BL221">
        <f>SUBTOTAL(109,Table19[Challenge 48])</f>
        <v>0</v>
      </c>
      <c r="BM221">
        <f>SUBTOTAL(109,Table19[Challenge 49])</f>
        <v>0</v>
      </c>
      <c r="BN221">
        <f>SUBTOTAL(109,Table19[Challenge 50])</f>
        <v>0</v>
      </c>
      <c r="BO221">
        <f>SUBTOTAL(109,Table19[Club 1])</f>
        <v>4</v>
      </c>
      <c r="BP221">
        <f>SUBTOTAL(109,Table19[Club 2])</f>
        <v>0</v>
      </c>
      <c r="BQ221">
        <f>SUBTOTAL(109,Table19[Club 3])</f>
        <v>0</v>
      </c>
      <c r="BR221">
        <f>SUBTOTAL(109,Table19[Club 4])</f>
        <v>0</v>
      </c>
      <c r="BS221">
        <f>SUBTOTAL(109,Table19[Club 5])</f>
        <v>0</v>
      </c>
      <c r="BT221">
        <f>SUBTOTAL(109,Table19[Club 6])</f>
        <v>0</v>
      </c>
      <c r="BU221">
        <f>SUBTOTAL(109,Table19[Club 7])</f>
        <v>0</v>
      </c>
      <c r="BV221">
        <f>SUBTOTAL(109,Table19[Club 8])</f>
        <v>0</v>
      </c>
      <c r="BW221">
        <f>SUBTOTAL(109,Table19[Club 9])</f>
        <v>0</v>
      </c>
      <c r="BX221">
        <f>SUBTOTAL(109,Table19[Club 10])</f>
        <v>0</v>
      </c>
      <c r="BY221">
        <f>SUBTOTAL(109,Table19[Club 11])</f>
        <v>0</v>
      </c>
      <c r="BZ221">
        <f>SUBTOTAL(109,Table19[Club 12])</f>
        <v>0</v>
      </c>
      <c r="CA221">
        <f>SUBTOTAL(109,Table19[Club 13])</f>
        <v>0</v>
      </c>
      <c r="CB221">
        <f>SUBTOTAL(109,Table19[Club 14])</f>
        <v>0</v>
      </c>
      <c r="CC221">
        <f>SUBTOTAL(109,Table19[Club 15])</f>
        <v>0</v>
      </c>
      <c r="CD221">
        <f>SUBTOTAL(109,Table19[Club 16])</f>
        <v>0</v>
      </c>
      <c r="CE221">
        <f>SUBTOTAL(109,Table19[Club 17])</f>
        <v>0</v>
      </c>
      <c r="CF221">
        <f>SUBTOTAL(109,Table19[Club 18])</f>
        <v>0</v>
      </c>
      <c r="CG221">
        <f>SUBTOTAL(109,Table19[Club 19])</f>
        <v>0</v>
      </c>
      <c r="CH221">
        <f>SUBTOTAL(109,Table19[Club 20])</f>
        <v>0</v>
      </c>
      <c r="CI221">
        <f>SUBTOTAL(109,Table19[Club 21])</f>
        <v>0</v>
      </c>
      <c r="CJ221">
        <f>SUBTOTAL(109,Table19[Club 22])</f>
        <v>0</v>
      </c>
      <c r="CK221">
        <f>SUBTOTAL(109,Table19[Club 23])</f>
        <v>0</v>
      </c>
      <c r="CL221">
        <f>SUBTOTAL(109,Table19[Club 24])</f>
        <v>0</v>
      </c>
      <c r="CM221">
        <f>SUBTOTAL(109,Table19[Club 25])</f>
        <v>0</v>
      </c>
      <c r="CN221">
        <f>SUBTOTAL(109,Table19[Club 26])</f>
        <v>0</v>
      </c>
      <c r="CO221">
        <f>SUBTOTAL(109,Table19[Club 27])</f>
        <v>0</v>
      </c>
      <c r="CP221">
        <f>SUBTOTAL(109,Table19[Club 28])</f>
        <v>0</v>
      </c>
      <c r="CQ221">
        <f>SUBTOTAL(109,Table19[Club 29])</f>
        <v>0</v>
      </c>
      <c r="CR221">
        <f>SUBTOTAL(109,Table19[Club 30])</f>
        <v>0</v>
      </c>
      <c r="CS221">
        <f>SUBTOTAL(109,Table19[Club 31])</f>
        <v>0</v>
      </c>
      <c r="CT221">
        <f>SUBTOTAL(109,Table19[Club 32])</f>
        <v>0</v>
      </c>
      <c r="CU221">
        <f>SUBTOTAL(109,Table19[Club 33])</f>
        <v>0</v>
      </c>
      <c r="CV221">
        <f>SUBTOTAL(109,Table19[Club 34])</f>
        <v>0</v>
      </c>
      <c r="CW221">
        <f>SUBTOTAL(109,Table19[Club 35])</f>
        <v>0</v>
      </c>
      <c r="CX221">
        <f>SUBTOTAL(109,Table19[Club 36])</f>
        <v>0</v>
      </c>
      <c r="CY221">
        <f>SUBTOTAL(109,Table19[Club 37])</f>
        <v>0</v>
      </c>
      <c r="CZ221">
        <f>SUBTOTAL(109,Table19[Club 38])</f>
        <v>0</v>
      </c>
      <c r="DA221">
        <f>SUBTOTAL(109,Table19[Club 39])</f>
        <v>0</v>
      </c>
      <c r="DB221">
        <f>SUBTOTAL(109,Table19[Club 40])</f>
        <v>0</v>
      </c>
      <c r="DC221">
        <f>SUBTOTAL(109,Table19[Club 41])</f>
        <v>0</v>
      </c>
      <c r="DD221">
        <f>SUBTOTAL(109,Table19[Club 42])</f>
        <v>0</v>
      </c>
      <c r="DE221">
        <f>SUBTOTAL(109,Table19[Club 43])</f>
        <v>0</v>
      </c>
      <c r="DF221">
        <f>SUBTOTAL(109,Table19[Club 44])</f>
        <v>0</v>
      </c>
      <c r="DG221">
        <f>SUBTOTAL(109,Table19[Club 45])</f>
        <v>0</v>
      </c>
      <c r="DH221">
        <f>SUBTOTAL(109,Table19[Club 46])</f>
        <v>0</v>
      </c>
      <c r="DI221">
        <f>SUBTOTAL(109,Table19[Club 47])</f>
        <v>0</v>
      </c>
      <c r="DJ221">
        <f>SUBTOTAL(109,Table19[Club 48])</f>
        <v>0</v>
      </c>
      <c r="DK221">
        <f>SUBTOTAL(109,Table19[Club 49])</f>
        <v>0</v>
      </c>
      <c r="DL221">
        <f>SUBTOTAL(109,Table19[Club 50])</f>
        <v>0</v>
      </c>
      <c r="DM221">
        <f>SUBTOTAL(109,Table19[Intra-school sports 1])</f>
        <v>3</v>
      </c>
      <c r="DN221">
        <f>SUBTOTAL(109,Table19[Intra-school sports 2])</f>
        <v>0</v>
      </c>
      <c r="DO221">
        <f>SUBTOTAL(109,Table19[Intra-school sports 3])</f>
        <v>0</v>
      </c>
      <c r="DP221">
        <f>SUBTOTAL(109,Table19[Intra-school sports 4])</f>
        <v>0</v>
      </c>
      <c r="DQ221">
        <f>SUBTOTAL(109,Table19[Intra-school sports 5])</f>
        <v>0</v>
      </c>
      <c r="DR221">
        <f>SUBTOTAL(109,Table19[Intra-school sports 6])</f>
        <v>0</v>
      </c>
      <c r="DS221">
        <f>SUBTOTAL(109,Table19[Intra-school sports 7])</f>
        <v>0</v>
      </c>
      <c r="DT221">
        <f>SUBTOTAL(109,Table19[Intra-school sports 8])</f>
        <v>0</v>
      </c>
      <c r="DU221">
        <f>SUBTOTAL(109,Table19[Intra-school sports 9])</f>
        <v>0</v>
      </c>
      <c r="DV221">
        <f>SUBTOTAL(109,Table19[Intra-school sports 10])</f>
        <v>0</v>
      </c>
      <c r="DW221">
        <f>SUBTOTAL(109,Table19[Intra-school sports 11])</f>
        <v>0</v>
      </c>
      <c r="DX221">
        <f>SUBTOTAL(109,Table19[Intra-school sports 12])</f>
        <v>0</v>
      </c>
      <c r="DY221">
        <f>SUBTOTAL(109,Table19[Intra-school sports 13])</f>
        <v>0</v>
      </c>
      <c r="DZ221">
        <f>SUBTOTAL(109,Table19[Intra-school sports 14])</f>
        <v>0</v>
      </c>
      <c r="EA221">
        <f>SUBTOTAL(109,Table19[Intra-school sports 15])</f>
        <v>0</v>
      </c>
      <c r="EB221">
        <f>SUBTOTAL(109,Table19[Intra-school sports 16])</f>
        <v>0</v>
      </c>
      <c r="EC221">
        <f>SUBTOTAL(109,Table19[Intra-school sports 17])</f>
        <v>0</v>
      </c>
      <c r="ED221">
        <f>SUBTOTAL(109,Table19[Intra-school sports 18])</f>
        <v>0</v>
      </c>
      <c r="EE221">
        <f>SUBTOTAL(109,Table19[Intra-school sports 19])</f>
        <v>0</v>
      </c>
      <c r="EF221">
        <f>SUBTOTAL(109,Table19[Intra-school sports 20])</f>
        <v>0</v>
      </c>
      <c r="EG221">
        <f>SUBTOTAL(109,Table19[Intra-school sports 21])</f>
        <v>0</v>
      </c>
      <c r="EH221">
        <f>SUBTOTAL(109,Table19[Intra-school sports 22])</f>
        <v>0</v>
      </c>
      <c r="EI221">
        <f>SUBTOTAL(109,Table19[Intra-school sports 23])</f>
        <v>0</v>
      </c>
      <c r="EJ221">
        <f>SUBTOTAL(109,Table19[Intra-school sports 24])</f>
        <v>0</v>
      </c>
      <c r="EK221">
        <f>SUBTOTAL(109,Table19[Intra-school sports 25])</f>
        <v>0</v>
      </c>
      <c r="EL221">
        <f>SUBTOTAL(109,Table19[Intra-school sports 26])</f>
        <v>0</v>
      </c>
      <c r="EM221">
        <f>SUBTOTAL(109,Table19[Intra-school sports 27])</f>
        <v>0</v>
      </c>
      <c r="EN221">
        <f>SUBTOTAL(109,Table19[Intra-school sports 28])</f>
        <v>0</v>
      </c>
      <c r="EO221">
        <f>SUBTOTAL(109,Table19[Intra-school sports 29])</f>
        <v>0</v>
      </c>
      <c r="EP221">
        <f>SUBTOTAL(109,Table19[Intra-school sports 30])</f>
        <v>0</v>
      </c>
      <c r="EQ221">
        <f>SUBTOTAL(109,Table19[Intra-school sports 31])</f>
        <v>0</v>
      </c>
      <c r="ER221">
        <f>SUBTOTAL(109,Table19[Intra-school sports 32])</f>
        <v>0</v>
      </c>
      <c r="ES221">
        <f>SUBTOTAL(109,Table19[Intra-school sports 33])</f>
        <v>0</v>
      </c>
      <c r="ET221">
        <f>SUBTOTAL(109,Table19[Intra-school sports 34])</f>
        <v>0</v>
      </c>
      <c r="EU221">
        <f>SUBTOTAL(109,Table19[Intra-school sports 35])</f>
        <v>0</v>
      </c>
      <c r="EV221">
        <f>SUBTOTAL(109,Table19[Intra-school sports 36])</f>
        <v>0</v>
      </c>
      <c r="EW221">
        <f>SUBTOTAL(109,Table19[Intra-school sports 37])</f>
        <v>0</v>
      </c>
      <c r="EX221">
        <f>SUBTOTAL(109,Table19[Intra-school sports 38])</f>
        <v>0</v>
      </c>
      <c r="EY221">
        <f>SUBTOTAL(109,Table19[Intra-school sports 39])</f>
        <v>0</v>
      </c>
      <c r="EZ221">
        <f>SUBTOTAL(109,Table19[Intra-school sports 40])</f>
        <v>0</v>
      </c>
      <c r="FA221">
        <f>SUBTOTAL(109,Table19[Intra-school sports 41])</f>
        <v>0</v>
      </c>
      <c r="FB221">
        <f>SUBTOTAL(109,Table19[Intra-school sports 42])</f>
        <v>0</v>
      </c>
      <c r="FC221">
        <f>SUBTOTAL(109,Table19[Intra-school sports 43])</f>
        <v>0</v>
      </c>
      <c r="FD221">
        <f>SUBTOTAL(109,Table19[Intra-school sports 44])</f>
        <v>0</v>
      </c>
      <c r="FE221">
        <f>SUBTOTAL(109,Table19[Intra-school sports 45])</f>
        <v>0</v>
      </c>
      <c r="FF221">
        <f>SUBTOTAL(109,Table19[Intra-school sports 46])</f>
        <v>0</v>
      </c>
      <c r="FG221">
        <f>SUBTOTAL(109,Table19[Intra-school sports 47])</f>
        <v>0</v>
      </c>
      <c r="FH221">
        <f>SUBTOTAL(109,Table19[Intra-school sports 48])</f>
        <v>0</v>
      </c>
      <c r="FI221">
        <f>SUBTOTAL(109,Table19[Intra-school sports 49])</f>
        <v>0</v>
      </c>
      <c r="FJ221">
        <f>SUBTOTAL(109,Table19[Intra-school sports 50])</f>
        <v>0</v>
      </c>
      <c r="FK221">
        <f>SUBTOTAL(109,Table19[Inter School sports 1])</f>
        <v>5</v>
      </c>
      <c r="FL221">
        <f>SUBTOTAL(109,Table19[Inter School sports 2])</f>
        <v>0</v>
      </c>
      <c r="FM221">
        <f>SUBTOTAL(109,Table19[Inter School sports 3])</f>
        <v>0</v>
      </c>
      <c r="FN221">
        <f>SUBTOTAL(109,Table19[Inter School sports 4])</f>
        <v>0</v>
      </c>
      <c r="FO221">
        <f>SUBTOTAL(109,Table19[Inter School sports 5])</f>
        <v>0</v>
      </c>
      <c r="FP221">
        <f>SUBTOTAL(109,Table19[Inter School sports 6])</f>
        <v>0</v>
      </c>
      <c r="FQ221">
        <f>SUBTOTAL(109,Table19[Inter School sports 7])</f>
        <v>0</v>
      </c>
      <c r="FR221">
        <f>SUBTOTAL(109,Table19[Inter School sports 8])</f>
        <v>0</v>
      </c>
      <c r="FS221">
        <f>SUBTOTAL(109,Table19[Inter School sports 9])</f>
        <v>0</v>
      </c>
      <c r="FT221">
        <f>SUBTOTAL(109,Table19[Inter School sports 10])</f>
        <v>0</v>
      </c>
      <c r="FU221">
        <f>SUBTOTAL(109,Table19[Inter School sports 11])</f>
        <v>0</v>
      </c>
      <c r="FV221">
        <f>SUBTOTAL(109,Table19[Inter School sports 12])</f>
        <v>0</v>
      </c>
      <c r="FW221">
        <f>SUBTOTAL(109,Table19[Inter School sports 13])</f>
        <v>0</v>
      </c>
      <c r="FX221">
        <f>SUBTOTAL(109,Table19[Inter School sports 14])</f>
        <v>0</v>
      </c>
      <c r="FY221">
        <f>SUBTOTAL(109,Table19[Inter School sports 15])</f>
        <v>0</v>
      </c>
      <c r="FZ221">
        <f>SUBTOTAL(109,Table19[Inter School sports 16])</f>
        <v>0</v>
      </c>
      <c r="GA221">
        <f>SUBTOTAL(109,Table19[Inter School sports 17])</f>
        <v>0</v>
      </c>
      <c r="GB221">
        <f>SUBTOTAL(109,Table19[Inter School sports 18])</f>
        <v>0</v>
      </c>
      <c r="GC221">
        <f>SUBTOTAL(109,Table19[Inter School sports 19])</f>
        <v>0</v>
      </c>
      <c r="GD221">
        <f>SUBTOTAL(109,Table19[Inter School sports 20])</f>
        <v>0</v>
      </c>
      <c r="GE221">
        <f>SUBTOTAL(109,Table19[Inter School sports 21])</f>
        <v>0</v>
      </c>
      <c r="GF221">
        <f>SUBTOTAL(109,Table19[Inter School sports 22])</f>
        <v>0</v>
      </c>
      <c r="GG221">
        <f>SUBTOTAL(109,Table19[Inter School sports 23])</f>
        <v>0</v>
      </c>
      <c r="GH221">
        <f>SUBTOTAL(109,Table19[Inter School sports 24])</f>
        <v>0</v>
      </c>
      <c r="GI221">
        <f>SUBTOTAL(109,Table19[Inter School sports 25])</f>
        <v>0</v>
      </c>
      <c r="GJ221">
        <f>SUBTOTAL(109,Table19[Inter School sports 26])</f>
        <v>0</v>
      </c>
      <c r="GK221">
        <f>SUBTOTAL(109,Table19[Inter School sports 27])</f>
        <v>0</v>
      </c>
      <c r="GL221">
        <f>SUBTOTAL(109,Table19[Inter School sports 28])</f>
        <v>0</v>
      </c>
      <c r="GM221">
        <f>SUBTOTAL(109,Table19[Inter School sports 29])</f>
        <v>0</v>
      </c>
      <c r="GN221">
        <f>SUBTOTAL(109,Table19[Inter School sports 30])</f>
        <v>0</v>
      </c>
      <c r="GO221">
        <f>SUBTOTAL(109,Table19[Inter School sports 31])</f>
        <v>0</v>
      </c>
      <c r="GP221">
        <f>SUBTOTAL(109,Table19[Inter School sports 32])</f>
        <v>0</v>
      </c>
      <c r="GQ221">
        <f>SUBTOTAL(109,Table19[Inter School sports 33])</f>
        <v>0</v>
      </c>
      <c r="GR221">
        <f>SUBTOTAL(109,Table19[Inter School sports 34])</f>
        <v>0</v>
      </c>
      <c r="GS221">
        <f>SUBTOTAL(109,Table19[Inter School sports 35])</f>
        <v>0</v>
      </c>
      <c r="GT221">
        <f>SUBTOTAL(109,Table19[Inter School sports 36])</f>
        <v>0</v>
      </c>
      <c r="GU221">
        <f>SUBTOTAL(109,Table19[Inter School sports 37])</f>
        <v>0</v>
      </c>
      <c r="GV221">
        <f>SUBTOTAL(109,Table19[Inter School sports 38])</f>
        <v>0</v>
      </c>
      <c r="GW221">
        <f>SUBTOTAL(109,Table19[Inter School sports 39])</f>
        <v>0</v>
      </c>
      <c r="GX221">
        <f>SUBTOTAL(109,Table19[Inter School sports 40])</f>
        <v>0</v>
      </c>
      <c r="GY221">
        <f>SUBTOTAL(109,Table19[Inter School sports 41])</f>
        <v>0</v>
      </c>
      <c r="GZ221">
        <f>SUBTOTAL(109,Table19[Inter School sports 42])</f>
        <v>0</v>
      </c>
      <c r="HA221">
        <f>SUBTOTAL(109,Table19[Inter School sports 43])</f>
        <v>0</v>
      </c>
      <c r="HB221">
        <f>SUBTOTAL(109,Table19[Inter School sports 44])</f>
        <v>0</v>
      </c>
      <c r="HC221">
        <f>SUBTOTAL(109,Table19[Inter School sports 45])</f>
        <v>0</v>
      </c>
      <c r="HD221">
        <f>SUBTOTAL(109,Table19[Inter School sports 46])</f>
        <v>0</v>
      </c>
      <c r="HE221">
        <f>SUBTOTAL(109,Table19[Inter School sports 47])</f>
        <v>0</v>
      </c>
      <c r="HF221">
        <f>SUBTOTAL(109,Table19[Inter School sports 48])</f>
        <v>0</v>
      </c>
      <c r="HG221">
        <f>SUBTOTAL(109,Table19[Inter School sports 49])</f>
        <v>0</v>
      </c>
      <c r="HH221">
        <f>SUBTOTAL(109,Table19[Inter School sports 50])</f>
        <v>0</v>
      </c>
      <c r="HI221"/>
      <c r="HJ221" s="65"/>
    </row>
  </sheetData>
  <mergeCells count="5">
    <mergeCell ref="B1:J1"/>
    <mergeCell ref="Q1:BN1"/>
    <mergeCell ref="BO1:DL1"/>
    <mergeCell ref="DM1:FJ1"/>
    <mergeCell ref="FK1:HH1"/>
  </mergeCells>
  <pageMargins left="0.7" right="0.7" top="0.75" bottom="0.75" header="0.3" footer="0.3"/>
  <drawing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221"/>
  <sheetViews>
    <sheetView showGridLines="0" workbookViewId="0">
      <pane xSplit="10" ySplit="3" topLeftCell="K4" activePane="bottomRight" state="frozen"/>
      <selection pane="topRight" activeCell="K1" sqref="K1"/>
      <selection pane="bottomLeft" activeCell="A4" sqref="A4"/>
      <selection pane="bottomRight" activeCell="DP7" sqref="DP7"/>
    </sheetView>
  </sheetViews>
  <sheetFormatPr defaultRowHeight="15" x14ac:dyDescent="0.25"/>
  <cols>
    <col min="1" max="1" width="14.140625" customWidth="1"/>
    <col min="2" max="2" width="13.85546875" customWidth="1"/>
    <col min="3" max="3" width="7.5703125" customWidth="1"/>
    <col min="4" max="4" width="9.28515625" customWidth="1"/>
    <col min="5" max="5" width="3.28515625" customWidth="1"/>
    <col min="6" max="6" width="3.140625" customWidth="1"/>
    <col min="7" max="9" width="3.28515625" customWidth="1"/>
    <col min="10" max="10" width="4.28515625" customWidth="1"/>
    <col min="11" max="11" width="4.28515625" style="2" customWidth="1"/>
    <col min="12" max="12" width="3.7109375" style="2" customWidth="1"/>
    <col min="13" max="16" width="4.28515625" style="2" customWidth="1"/>
    <col min="17" max="26" width="3.140625" customWidth="1"/>
    <col min="27" max="66" width="3.7109375" hidden="1" customWidth="1"/>
    <col min="67" max="81" width="2.5703125" customWidth="1"/>
    <col min="82" max="116" width="2.85546875" hidden="1" customWidth="1"/>
    <col min="117" max="131" width="3.140625" customWidth="1"/>
    <col min="132" max="166" width="3.7109375" hidden="1" customWidth="1"/>
    <col min="167" max="172" width="3.28515625" customWidth="1"/>
    <col min="173" max="181" width="3.140625" customWidth="1"/>
    <col min="182" max="216" width="3.140625" hidden="1" customWidth="1"/>
    <col min="217" max="217" width="24.140625" style="19" customWidth="1"/>
  </cols>
  <sheetData>
    <row r="1" spans="1:218" ht="43.5" customHeight="1" x14ac:dyDescent="0.25">
      <c r="B1" s="144" t="s">
        <v>315</v>
      </c>
      <c r="C1" s="144"/>
      <c r="D1" s="144"/>
      <c r="E1" s="144"/>
      <c r="F1" s="144"/>
      <c r="G1" s="144"/>
      <c r="H1" s="144"/>
      <c r="I1" s="144"/>
      <c r="J1" s="144"/>
      <c r="K1" s="86"/>
      <c r="L1" s="86"/>
      <c r="M1" s="86"/>
      <c r="N1" s="86"/>
      <c r="O1" s="86"/>
      <c r="P1" s="86"/>
      <c r="Q1" s="145" t="s">
        <v>31</v>
      </c>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6" t="s">
        <v>115</v>
      </c>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8" t="s">
        <v>323</v>
      </c>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9" t="s">
        <v>324</v>
      </c>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73"/>
    </row>
    <row r="2" spans="1:218" s="20" customFormat="1" ht="18.75" customHeight="1" x14ac:dyDescent="0.25">
      <c r="A2" s="20" t="s">
        <v>58</v>
      </c>
      <c r="E2" s="20">
        <f>Table1[[#Totals],[FSM / PP]]</f>
        <v>1</v>
      </c>
      <c r="F2" s="20">
        <f>Table1[[#Totals],[Ethnically Diverse]]</f>
        <v>0</v>
      </c>
      <c r="G2" s="20">
        <f>Table1[[#Totals],[EAL]]</f>
        <v>1</v>
      </c>
      <c r="H2" s="20">
        <f>Table1[[#Totals],[SEN]]</f>
        <v>1</v>
      </c>
      <c r="I2" s="20">
        <f>Table1[[#Totals],[Young Leader]]</f>
        <v>0</v>
      </c>
      <c r="J2" s="20">
        <f>Table1[[#Totals],[Least active]]</f>
        <v>1</v>
      </c>
      <c r="K2" s="87">
        <f>Table1[[#Totals],[Total Challenges]]</f>
        <v>0</v>
      </c>
      <c r="L2" s="87">
        <f>Table1[[#Totals],[Total Ex-C Clubs]]</f>
        <v>1</v>
      </c>
      <c r="M2" s="87">
        <f>Table1[[#Totals],[Total Intra-School Sports]]</f>
        <v>1</v>
      </c>
      <c r="N2" s="87">
        <f>Table1[[#Totals],[Total Inter-School Sports]]</f>
        <v>0</v>
      </c>
      <c r="O2" s="87">
        <f>Table1[[#Totals],[Community Clubs]]</f>
        <v>0</v>
      </c>
      <c r="P2" s="87">
        <f>Table1[[#Totals],[Active Opportunity]]</f>
        <v>1</v>
      </c>
      <c r="Q2" s="20">
        <f>Table1[[#Totals],[Challenge 1]]</f>
        <v>0</v>
      </c>
      <c r="R2" s="20">
        <f>Table1[[#Totals],[Challenge 2]]</f>
        <v>0</v>
      </c>
      <c r="S2" s="20">
        <f>Table1[[#Totals],[Challenge 3]]</f>
        <v>0</v>
      </c>
      <c r="T2" s="20">
        <f>Table1[[#Totals],[Challenge 4]]</f>
        <v>0</v>
      </c>
      <c r="U2" s="20">
        <f>Table1[[#Totals],[Challenge 5]]</f>
        <v>0</v>
      </c>
      <c r="V2" s="20">
        <f>Table1[[#Totals],[Challenge 6]]</f>
        <v>0</v>
      </c>
      <c r="W2" s="20">
        <f>Table1[[#Totals],[Challenge 7]]</f>
        <v>0</v>
      </c>
      <c r="X2" s="20">
        <f>Table1[[#Totals],[Challenge 8]]</f>
        <v>0</v>
      </c>
      <c r="Y2" s="20">
        <f>Table1[[#Totals],[Challenge 9]]</f>
        <v>0</v>
      </c>
      <c r="Z2" s="20">
        <f>Table1[[#Totals],[Challenge 10]]</f>
        <v>0</v>
      </c>
      <c r="AA2" s="20">
        <f>Table1[[#Totals],[Challenge 11]]</f>
        <v>0</v>
      </c>
      <c r="AB2" s="20">
        <f>Table1[[#Totals],[Challenge 12]]</f>
        <v>0</v>
      </c>
      <c r="AC2" s="20">
        <f>Table1[[#Totals],[Challenge 13]]</f>
        <v>0</v>
      </c>
      <c r="AD2" s="20">
        <f>Table1[[#Totals],[Challenge 14]]</f>
        <v>0</v>
      </c>
      <c r="AE2" s="20">
        <f>Table1[[#Totals],[Challenge 15]]</f>
        <v>0</v>
      </c>
      <c r="AF2" s="20">
        <f>Table1[[#Totals],[Challenge 16]]</f>
        <v>0</v>
      </c>
      <c r="AG2" s="20">
        <f>Table1[[#Totals],[Challenge 17]]</f>
        <v>0</v>
      </c>
      <c r="AH2" s="20">
        <f>Table1[[#Totals],[Challenge 18]]</f>
        <v>0</v>
      </c>
      <c r="AI2" s="20">
        <f>Table1[[#Totals],[Challenge 19]]</f>
        <v>0</v>
      </c>
      <c r="AJ2" s="20">
        <f>Table1[[#Totals],[Challenge 20]]</f>
        <v>0</v>
      </c>
      <c r="AK2" s="20">
        <f>Table1[[#Totals],[Challenge 21]]</f>
        <v>0</v>
      </c>
      <c r="AL2" s="20">
        <f>Table1[[#Totals],[Challenge 22]]</f>
        <v>0</v>
      </c>
      <c r="AM2" s="20">
        <f>Table1[[#Totals],[Challenge 23]]</f>
        <v>0</v>
      </c>
      <c r="AN2" s="20">
        <f>Table1[[#Totals],[Challenge 24]]</f>
        <v>0</v>
      </c>
      <c r="AO2" s="20">
        <f>Table1[[#Totals],[Challenge 25]]</f>
        <v>0</v>
      </c>
      <c r="AP2" s="20">
        <f>Table1[[#Totals],[Challenge 26]]</f>
        <v>0</v>
      </c>
      <c r="AQ2" s="20">
        <f>Table1[[#Totals],[Challenge 27]]</f>
        <v>0</v>
      </c>
      <c r="AR2" s="20">
        <f>Table1[[#Totals],[Challenge 28]]</f>
        <v>0</v>
      </c>
      <c r="AS2" s="20">
        <f>Table1[[#Totals],[Challenge 29]]</f>
        <v>0</v>
      </c>
      <c r="AT2" s="20">
        <f>Table1[[#Totals],[Challenge 30]]</f>
        <v>0</v>
      </c>
      <c r="AU2" s="20">
        <f>Table1[[#Totals],[Challenge 31]]</f>
        <v>0</v>
      </c>
      <c r="AV2" s="20">
        <f>Table1[[#Totals],[Challenge 32]]</f>
        <v>0</v>
      </c>
      <c r="AW2" s="20">
        <f>Table1[[#Totals],[Challenge 33]]</f>
        <v>0</v>
      </c>
      <c r="AX2" s="20">
        <f>Table1[[#Totals],[Challenge 34]]</f>
        <v>0</v>
      </c>
      <c r="AY2" s="20">
        <f>Table1[[#Totals],[Challenge 35]]</f>
        <v>0</v>
      </c>
      <c r="AZ2" s="20">
        <f>Table1[[#Totals],[Challenge 36]]</f>
        <v>0</v>
      </c>
      <c r="BA2" s="20">
        <f>Table1[[#Totals],[Challenge 37]]</f>
        <v>0</v>
      </c>
      <c r="BB2" s="20">
        <f>Table1[[#Totals],[Challenge 38]]</f>
        <v>0</v>
      </c>
      <c r="BC2" s="20">
        <f>Table1[[#Totals],[Challenge 39]]</f>
        <v>0</v>
      </c>
      <c r="BD2" s="20">
        <f>Table1[[#Totals],[Challenge 40]]</f>
        <v>0</v>
      </c>
      <c r="BE2" s="20">
        <f>Table1[[#Totals],[Challenge 41]]</f>
        <v>0</v>
      </c>
      <c r="BF2" s="20">
        <f>Table1[[#Totals],[Challenge 42]]</f>
        <v>0</v>
      </c>
      <c r="BG2" s="20">
        <f>Table1[[#Totals],[Challenge 43]]</f>
        <v>0</v>
      </c>
      <c r="BH2" s="20">
        <f>Table1[[#Totals],[Challenge 44]]</f>
        <v>0</v>
      </c>
      <c r="BI2" s="20">
        <f>Table1[[#Totals],[Challenge 45]]</f>
        <v>0</v>
      </c>
      <c r="BJ2" s="20">
        <f>Table1[[#Totals],[Challenge 46]]</f>
        <v>0</v>
      </c>
      <c r="BK2" s="20">
        <f>Table1[[#Totals],[Challenge 47]]</f>
        <v>0</v>
      </c>
      <c r="BL2" s="20">
        <f>Table1[[#Totals],[Challenge 48]]</f>
        <v>0</v>
      </c>
      <c r="BM2" s="20">
        <f>Table1[[#Totals],[Challenge 49]]</f>
        <v>0</v>
      </c>
      <c r="BN2" s="20">
        <f>Table1[[#Totals],[Challenge 50]]</f>
        <v>0</v>
      </c>
      <c r="BO2" s="20">
        <f>Table1[[#Totals],[Club 1]]</f>
        <v>1</v>
      </c>
      <c r="BP2" s="20">
        <f>Table1[[#Totals],[Club 2]]</f>
        <v>0</v>
      </c>
      <c r="BQ2" s="20">
        <f>Table1[[#Totals],[Club 3]]</f>
        <v>0</v>
      </c>
      <c r="BR2" s="20">
        <f>Table1[[#Totals],[Club 4]]</f>
        <v>0</v>
      </c>
      <c r="BS2" s="20">
        <f>Table1[[#Totals],[Club 5]]</f>
        <v>0</v>
      </c>
      <c r="BT2" s="20">
        <f>Table1[[#Totals],[Club 6]]</f>
        <v>0</v>
      </c>
      <c r="BU2" s="20">
        <f>Table1[[#Totals],[Club 7]]</f>
        <v>0</v>
      </c>
      <c r="BV2" s="20">
        <f>Table1[[#Totals],[Club 8]]</f>
        <v>0</v>
      </c>
      <c r="BW2" s="20">
        <f>Table1[[#Totals],[Club 9]]</f>
        <v>0</v>
      </c>
      <c r="BX2" s="20">
        <f>Table1[[#Totals],[Club 10]]</f>
        <v>0</v>
      </c>
      <c r="BY2" s="20">
        <f>Table1[[#Totals],[Club 11]]</f>
        <v>0</v>
      </c>
      <c r="BZ2" s="20">
        <f>Table1[[#Totals],[Club 12]]</f>
        <v>0</v>
      </c>
      <c r="CA2" s="20">
        <f>Table1[[#Totals],[Club 13]]</f>
        <v>0</v>
      </c>
      <c r="CB2" s="20">
        <f>Table1[[#Totals],[Club 14]]</f>
        <v>0</v>
      </c>
      <c r="CC2" s="20">
        <f>Table1[[#Totals],[Club 15]]</f>
        <v>0</v>
      </c>
      <c r="CD2" s="20">
        <f>Table1[[#Totals],[Club 16]]</f>
        <v>0</v>
      </c>
      <c r="CE2" s="20">
        <f>Table1[[#Totals],[Club 17]]</f>
        <v>0</v>
      </c>
      <c r="CF2" s="20">
        <f>Table1[[#Totals],[Club 18]]</f>
        <v>0</v>
      </c>
      <c r="CG2" s="20">
        <f>Table1[[#Totals],[Club 19]]</f>
        <v>0</v>
      </c>
      <c r="CH2" s="20">
        <f>Table1[[#Totals],[Club 20]]</f>
        <v>0</v>
      </c>
      <c r="CI2" s="20">
        <f>Table1[[#Totals],[Club 21]]</f>
        <v>0</v>
      </c>
      <c r="CJ2" s="20">
        <f>Table1[[#Totals],[Club 22]]</f>
        <v>0</v>
      </c>
      <c r="CK2" s="20">
        <f>Table1[[#Totals],[Club 23]]</f>
        <v>0</v>
      </c>
      <c r="CL2" s="20">
        <f>Table1[[#Totals],[Club 24]]</f>
        <v>0</v>
      </c>
      <c r="CM2" s="20">
        <f>Table1[[#Totals],[Club 25]]</f>
        <v>0</v>
      </c>
      <c r="CN2" s="20">
        <f>Table1[[#Totals],[Club 26]]</f>
        <v>0</v>
      </c>
      <c r="CO2" s="20">
        <f>Table1[[#Totals],[Club 27]]</f>
        <v>0</v>
      </c>
      <c r="CP2" s="20">
        <f>Table1[[#Totals],[Club 28]]</f>
        <v>0</v>
      </c>
      <c r="CQ2" s="20">
        <f>Table1[[#Totals],[Club 29]]</f>
        <v>0</v>
      </c>
      <c r="CR2" s="20">
        <f>Table1[[#Totals],[Club 30]]</f>
        <v>0</v>
      </c>
      <c r="CS2" s="20">
        <f>Table1[[#Totals],[Club 31]]</f>
        <v>0</v>
      </c>
      <c r="CT2" s="20">
        <f>Table1[[#Totals],[Club 32]]</f>
        <v>0</v>
      </c>
      <c r="CU2" s="20">
        <f>Table1[[#Totals],[Club 33]]</f>
        <v>0</v>
      </c>
      <c r="CV2" s="20">
        <f>Table1[[#Totals],[Club 34]]</f>
        <v>0</v>
      </c>
      <c r="CW2" s="20">
        <f>Table1[[#Totals],[Club 35]]</f>
        <v>0</v>
      </c>
      <c r="CX2" s="20">
        <f>Table1[[#Totals],[Club 36]]</f>
        <v>0</v>
      </c>
      <c r="CY2" s="20">
        <f>Table1[[#Totals],[Club 37]]</f>
        <v>0</v>
      </c>
      <c r="CZ2" s="20">
        <f>Table1[[#Totals],[Club 38]]</f>
        <v>0</v>
      </c>
      <c r="DA2" s="20">
        <f>Table1[[#Totals],[Club 39]]</f>
        <v>0</v>
      </c>
      <c r="DB2" s="20">
        <f>Table1[[#Totals],[Club 40]]</f>
        <v>0</v>
      </c>
      <c r="DC2" s="20">
        <f>Table1[[#Totals],[Club 41]]</f>
        <v>0</v>
      </c>
      <c r="DD2" s="20">
        <f>Table1[[#Totals],[Club 42]]</f>
        <v>0</v>
      </c>
      <c r="DE2" s="20">
        <f>Table1[[#Totals],[Club 43]]</f>
        <v>0</v>
      </c>
      <c r="DF2" s="20">
        <f>Table1[[#Totals],[Club 44]]</f>
        <v>0</v>
      </c>
      <c r="DG2" s="20">
        <f>Table1[[#Totals],[Club 45]]</f>
        <v>0</v>
      </c>
      <c r="DH2" s="20">
        <f>Table1[[#Totals],[Club 46]]</f>
        <v>0</v>
      </c>
      <c r="DI2" s="20">
        <f>Table1[[#Totals],[Club 47]]</f>
        <v>0</v>
      </c>
      <c r="DJ2" s="20">
        <f>Table1[[#Totals],[Club 48]]</f>
        <v>0</v>
      </c>
      <c r="DK2" s="20">
        <f>Table1[[#Totals],[Club 49]]</f>
        <v>0</v>
      </c>
      <c r="DL2" s="20">
        <f>Table1[[#Totals],[Club 50]]</f>
        <v>0</v>
      </c>
      <c r="DM2" s="20">
        <f>Table1[[#Totals],[Intra-school sports 1]]</f>
        <v>0</v>
      </c>
      <c r="DN2" s="20">
        <f>Table1[[#Totals],[Intra-school sports 2]]</f>
        <v>0</v>
      </c>
      <c r="DO2" s="20">
        <f>Table1[[#Totals],[Intra-school sports 3]]</f>
        <v>1</v>
      </c>
      <c r="DP2" s="20">
        <f>Table1[[#Totals],[Intra-school sports 4]]</f>
        <v>0</v>
      </c>
      <c r="DQ2" s="20">
        <f>Table1[[#Totals],[Intra-school sports 5]]</f>
        <v>0</v>
      </c>
      <c r="DR2" s="20">
        <f>Table1[[#Totals],[Intra-school sports 6]]</f>
        <v>0</v>
      </c>
      <c r="DS2" s="20">
        <f>Table1[[#Totals],[Intra-school sports 7]]</f>
        <v>0</v>
      </c>
      <c r="DT2" s="20">
        <f>Table1[[#Totals],[Intra-school sports 8]]</f>
        <v>0</v>
      </c>
      <c r="DU2" s="20">
        <f>Table1[[#Totals],[Intra-school sports 9]]</f>
        <v>0</v>
      </c>
      <c r="DV2" s="20">
        <f>Table1[[#Totals],[Intra-school sports 10]]</f>
        <v>0</v>
      </c>
      <c r="DW2" s="20">
        <f>Table1[[#Totals],[Intra-school sports 11]]</f>
        <v>0</v>
      </c>
      <c r="DX2" s="20">
        <f>Table1[[#Totals],[Intra-school sports 12]]</f>
        <v>0</v>
      </c>
      <c r="DY2" s="20">
        <f>Table1[[#Totals],[Intra-school sports 13]]</f>
        <v>0</v>
      </c>
      <c r="DZ2" s="20">
        <f>Table1[[#Totals],[Intra-school sports 14]]</f>
        <v>0</v>
      </c>
      <c r="EA2" s="20">
        <f>Table1[[#Totals],[Intra-school sports 15]]</f>
        <v>0</v>
      </c>
      <c r="EB2" s="20">
        <f>Table1[[#Totals],[Intra-school sports 16]]</f>
        <v>0</v>
      </c>
      <c r="EC2" s="20">
        <f>Table1[[#Totals],[Intra-school sports 17]]</f>
        <v>0</v>
      </c>
      <c r="ED2" s="20">
        <f>Table1[[#Totals],[Intra-school sports 18]]</f>
        <v>0</v>
      </c>
      <c r="EE2" s="20">
        <f>Table1[[#Totals],[Intra-school sports 19]]</f>
        <v>0</v>
      </c>
      <c r="EF2" s="20">
        <f>Table1[[#Totals],[Intra-school sports 20]]</f>
        <v>0</v>
      </c>
      <c r="EG2" s="20">
        <f>Table1[[#Totals],[Intra-school sports 21]]</f>
        <v>0</v>
      </c>
      <c r="EH2" s="20">
        <f>Table1[[#Totals],[Intra-school sports 22]]</f>
        <v>0</v>
      </c>
      <c r="EI2" s="20">
        <f>Table1[[#Totals],[Intra-school sports 23]]</f>
        <v>0</v>
      </c>
      <c r="EJ2" s="20">
        <f>Table1[[#Totals],[Intra-school sports 24]]</f>
        <v>0</v>
      </c>
      <c r="EK2" s="20">
        <f>Table1[[#Totals],[Intra-school sports 25]]</f>
        <v>0</v>
      </c>
      <c r="EL2" s="20">
        <f>Table1[[#Totals],[Intra-school sports 26]]</f>
        <v>0</v>
      </c>
      <c r="EM2" s="20">
        <f>Table1[[#Totals],[Intra-school sports 27]]</f>
        <v>0</v>
      </c>
      <c r="EN2" s="20">
        <f>Table1[[#Totals],[Intra-school sports 28]]</f>
        <v>0</v>
      </c>
      <c r="EO2" s="20">
        <f>Table1[[#Totals],[Intra-school sports 29]]</f>
        <v>0</v>
      </c>
      <c r="EP2" s="20">
        <f>Table1[[#Totals],[Intra-school sports 30]]</f>
        <v>0</v>
      </c>
      <c r="EQ2" s="20">
        <f>Table1[[#Totals],[Intra-school sports 31]]</f>
        <v>0</v>
      </c>
      <c r="ER2" s="20">
        <f>Table1[[#Totals],[Intra-school sports 32]]</f>
        <v>0</v>
      </c>
      <c r="ES2" s="20">
        <f>Table1[[#Totals],[Intra-school sports 33]]</f>
        <v>0</v>
      </c>
      <c r="ET2" s="20">
        <f>Table1[[#Totals],[Intra-school sports 34]]</f>
        <v>0</v>
      </c>
      <c r="EU2" s="20">
        <f>Table1[[#Totals],[Intra-school sports 35]]</f>
        <v>0</v>
      </c>
      <c r="EV2" s="20">
        <f>Table1[[#Totals],[Intra-school sports 36]]</f>
        <v>0</v>
      </c>
      <c r="EW2" s="20">
        <f>Table1[[#Totals],[Intra-school sports 37]]</f>
        <v>0</v>
      </c>
      <c r="EX2" s="20">
        <f>Table1[[#Totals],[Intra-school sports 38]]</f>
        <v>0</v>
      </c>
      <c r="EY2" s="20">
        <f>Table1[[#Totals],[Intra-school sports 39]]</f>
        <v>0</v>
      </c>
      <c r="EZ2" s="20">
        <f>Table1[[#Totals],[Intra-school sports 40]]</f>
        <v>0</v>
      </c>
      <c r="FA2" s="20">
        <f>Table1[[#Totals],[Intra-school sports 41]]</f>
        <v>0</v>
      </c>
      <c r="FB2" s="20">
        <f>Table1[[#Totals],[Intra-school sports 42]]</f>
        <v>0</v>
      </c>
      <c r="FC2" s="20">
        <f>Table1[[#Totals],[Intra-school sports 43]]</f>
        <v>0</v>
      </c>
      <c r="FD2" s="20">
        <f>Table1[[#Totals],[Intra-school sports 44]]</f>
        <v>0</v>
      </c>
      <c r="FE2" s="20">
        <f>Table1[[#Totals],[Intra-school sports 45]]</f>
        <v>0</v>
      </c>
      <c r="FF2" s="20">
        <f>Table1[[#Totals],[Intra-school sports 46]]</f>
        <v>0</v>
      </c>
      <c r="FG2" s="20">
        <f>Table1[[#Totals],[Intra-school sports 47]]</f>
        <v>0</v>
      </c>
      <c r="FH2" s="20">
        <f>Table1[[#Totals],[Intra-school sports 48]]</f>
        <v>0</v>
      </c>
      <c r="FI2" s="20">
        <f>Table1[[#Totals],[Intra-school sports 49]]</f>
        <v>0</v>
      </c>
      <c r="FJ2" s="20">
        <f>Table1[[#Totals],[Intra-school sports 50]]</f>
        <v>0</v>
      </c>
      <c r="FK2" s="20">
        <f>Table1[[#Totals],[Inter School sports 1]]</f>
        <v>0</v>
      </c>
      <c r="FL2" s="20">
        <f>Table1[[#Totals],[Inter School sports 2]]</f>
        <v>0</v>
      </c>
      <c r="FM2" s="20">
        <f>Table1[[#Totals],[Inter School sports 3]]</f>
        <v>0</v>
      </c>
      <c r="FN2" s="20">
        <f>Table1[[#Totals],[Inter School sports 4]]</f>
        <v>0</v>
      </c>
      <c r="FO2" s="20">
        <f>Table1[[#Totals],[Inter School sports 5]]</f>
        <v>0</v>
      </c>
      <c r="FP2" s="20">
        <f>Table1[[#Totals],[Inter School sports 6]]</f>
        <v>0</v>
      </c>
      <c r="FQ2" s="20">
        <f>Table1[[#Totals],[Inter School sports 7]]</f>
        <v>0</v>
      </c>
      <c r="FR2" s="20">
        <f>Table1[[#Totals],[Inter School sports 8]]</f>
        <v>0</v>
      </c>
      <c r="FS2" s="20">
        <f>Table1[[#Totals],[Inter School sports 9]]</f>
        <v>0</v>
      </c>
      <c r="FT2" s="20">
        <f>Table1[[#Totals],[Inter School sports 10]]</f>
        <v>0</v>
      </c>
      <c r="FU2" s="20">
        <f>Table1[[#Totals],[Inter School sports 11]]</f>
        <v>0</v>
      </c>
      <c r="FV2" s="20">
        <f>Table1[[#Totals],[Inter School sports 12]]</f>
        <v>0</v>
      </c>
      <c r="FW2" s="20">
        <f>Table1[[#Totals],[Inter School sports 13]]</f>
        <v>0</v>
      </c>
      <c r="FX2" s="20">
        <f>Table1[[#Totals],[Inter School sports 14]]</f>
        <v>0</v>
      </c>
      <c r="FY2" s="20">
        <f>Table1[[#Totals],[Inter School sports 15]]</f>
        <v>0</v>
      </c>
      <c r="FZ2" s="20">
        <f>Table1[[#Totals],[Inter School sports 16]]</f>
        <v>0</v>
      </c>
      <c r="GA2" s="20">
        <f>Table1[[#Totals],[Inter School sports 17]]</f>
        <v>0</v>
      </c>
      <c r="GB2" s="20">
        <f>Table1[[#Totals],[Inter School sports 18]]</f>
        <v>0</v>
      </c>
      <c r="GC2" s="20">
        <f>Table1[[#Totals],[Inter School sports 19]]</f>
        <v>0</v>
      </c>
      <c r="GD2" s="20">
        <f>Table1[[#Totals],[Inter School sports 20]]</f>
        <v>0</v>
      </c>
      <c r="GE2" s="20">
        <f>Table1[[#Totals],[Inter School sports 21]]</f>
        <v>0</v>
      </c>
      <c r="GF2" s="20">
        <f>Table1[[#Totals],[Inter School sports 22]]</f>
        <v>0</v>
      </c>
      <c r="GG2" s="20">
        <f>Table1[[#Totals],[Inter School sports 23]]</f>
        <v>0</v>
      </c>
      <c r="GH2" s="20">
        <f>Table1[[#Totals],[Inter School sports 24]]</f>
        <v>0</v>
      </c>
      <c r="GI2" s="20">
        <f>Table1[[#Totals],[Inter School sports 25]]</f>
        <v>0</v>
      </c>
      <c r="GJ2" s="20">
        <f>Table1[[#Totals],[Inter School sports 26]]</f>
        <v>0</v>
      </c>
      <c r="GK2" s="20">
        <f>Table1[[#Totals],[Inter School sports 27]]</f>
        <v>0</v>
      </c>
      <c r="GL2" s="20">
        <f>Table1[[#Totals],[Inter School sports 28]]</f>
        <v>0</v>
      </c>
      <c r="GM2" s="20">
        <f>Table1[[#Totals],[Inter School sports 29]]</f>
        <v>0</v>
      </c>
      <c r="GN2" s="20">
        <f>Table1[[#Totals],[Inter School sports 30]]</f>
        <v>0</v>
      </c>
      <c r="GO2" s="20">
        <f>Table1[[#Totals],[Inter School sports 31]]</f>
        <v>0</v>
      </c>
      <c r="GP2" s="20">
        <f>Table1[[#Totals],[Inter School sports 32]]</f>
        <v>0</v>
      </c>
      <c r="GQ2" s="20">
        <f>Table1[[#Totals],[Inter School sports 33]]</f>
        <v>0</v>
      </c>
      <c r="GR2" s="20">
        <f>Table1[[#Totals],[Inter School sports 34]]</f>
        <v>0</v>
      </c>
      <c r="GS2" s="20">
        <f>Table1[[#Totals],[Inter School sports 35]]</f>
        <v>0</v>
      </c>
      <c r="GT2" s="20">
        <f>Table1[[#Totals],[Inter School sports 36]]</f>
        <v>0</v>
      </c>
      <c r="GU2" s="20">
        <f>Table1[[#Totals],[Inter School sports 37]]</f>
        <v>0</v>
      </c>
      <c r="GV2" s="20">
        <f>Table1[[#Totals],[Inter School sports 38]]</f>
        <v>0</v>
      </c>
      <c r="GW2" s="20">
        <f>Table1[[#Totals],[Inter School sports 39]]</f>
        <v>0</v>
      </c>
      <c r="GX2" s="20">
        <f>Table1[[#Totals],[Inter School sports 40]]</f>
        <v>0</v>
      </c>
      <c r="GY2" s="20">
        <f>Table1[[#Totals],[Inter School sports 41]]</f>
        <v>0</v>
      </c>
      <c r="GZ2" s="20">
        <f>Table1[[#Totals],[Inter School sports 42]]</f>
        <v>0</v>
      </c>
      <c r="HA2" s="20">
        <f>Table1[[#Totals],[Inter School sports 43]]</f>
        <v>0</v>
      </c>
      <c r="HB2" s="20">
        <f>Table1[[#Totals],[Inter School sports 44]]</f>
        <v>0</v>
      </c>
      <c r="HC2" s="20">
        <f>Table1[[#Totals],[Inter School sports 45]]</f>
        <v>0</v>
      </c>
      <c r="HD2" s="20">
        <f>Table1[[#Totals],[Inter School sports 46]]</f>
        <v>0</v>
      </c>
      <c r="HE2" s="20">
        <f>Table1[[#Totals],[Inter School sports 47]]</f>
        <v>0</v>
      </c>
      <c r="HF2" s="20">
        <f>Table1[[#Totals],[Inter School sports 48]]</f>
        <v>0</v>
      </c>
      <c r="HG2" s="20">
        <f>Table1[[#Totals],[Inter School sports 49]]</f>
        <v>0</v>
      </c>
      <c r="HH2" s="20">
        <f>Table1[[#Totals],[Inter School sports 50]]</f>
        <v>0</v>
      </c>
      <c r="HJ2"/>
    </row>
    <row r="3" spans="1:218" ht="131.25" customHeight="1" x14ac:dyDescent="0.25">
      <c r="A3" s="15" t="s">
        <v>39</v>
      </c>
      <c r="B3" s="15" t="s">
        <v>40</v>
      </c>
      <c r="C3" s="15" t="s">
        <v>41</v>
      </c>
      <c r="D3" s="15" t="s">
        <v>317</v>
      </c>
      <c r="E3" s="16" t="s">
        <v>316</v>
      </c>
      <c r="F3" s="16" t="s">
        <v>332</v>
      </c>
      <c r="G3" s="16" t="s">
        <v>42</v>
      </c>
      <c r="H3" s="16" t="s">
        <v>43</v>
      </c>
      <c r="I3" s="16" t="s">
        <v>44</v>
      </c>
      <c r="J3" s="16" t="s">
        <v>74</v>
      </c>
      <c r="K3" s="23" t="s">
        <v>318</v>
      </c>
      <c r="L3" s="25" t="s">
        <v>319</v>
      </c>
      <c r="M3" s="26" t="s">
        <v>320</v>
      </c>
      <c r="N3" s="27" t="s">
        <v>321</v>
      </c>
      <c r="O3" s="74" t="s">
        <v>306</v>
      </c>
      <c r="P3" s="82" t="s">
        <v>322</v>
      </c>
      <c r="Q3" s="23" t="s">
        <v>51</v>
      </c>
      <c r="R3" s="23" t="s">
        <v>52</v>
      </c>
      <c r="S3" s="23" t="s">
        <v>53</v>
      </c>
      <c r="T3" s="23" t="s">
        <v>54</v>
      </c>
      <c r="U3" s="23" t="s">
        <v>55</v>
      </c>
      <c r="V3" s="23" t="s">
        <v>56</v>
      </c>
      <c r="W3" s="23" t="s">
        <v>162</v>
      </c>
      <c r="X3" s="23" t="s">
        <v>163</v>
      </c>
      <c r="Y3" s="23" t="s">
        <v>164</v>
      </c>
      <c r="Z3" s="23" t="s">
        <v>165</v>
      </c>
      <c r="AA3" s="23" t="s">
        <v>166</v>
      </c>
      <c r="AB3" s="23" t="s">
        <v>167</v>
      </c>
      <c r="AC3" s="23" t="s">
        <v>168</v>
      </c>
      <c r="AD3" s="23" t="s">
        <v>169</v>
      </c>
      <c r="AE3" s="23" t="s">
        <v>170</v>
      </c>
      <c r="AF3" s="23" t="s">
        <v>171</v>
      </c>
      <c r="AG3" s="23" t="s">
        <v>172</v>
      </c>
      <c r="AH3" s="23" t="s">
        <v>173</v>
      </c>
      <c r="AI3" s="23" t="s">
        <v>174</v>
      </c>
      <c r="AJ3" s="23" t="s">
        <v>175</v>
      </c>
      <c r="AK3" s="23" t="s">
        <v>176</v>
      </c>
      <c r="AL3" s="23" t="s">
        <v>177</v>
      </c>
      <c r="AM3" s="23" t="s">
        <v>178</v>
      </c>
      <c r="AN3" s="23" t="s">
        <v>179</v>
      </c>
      <c r="AO3" s="23" t="s">
        <v>180</v>
      </c>
      <c r="AP3" s="23" t="s">
        <v>181</v>
      </c>
      <c r="AQ3" s="23" t="s">
        <v>182</v>
      </c>
      <c r="AR3" s="23" t="s">
        <v>183</v>
      </c>
      <c r="AS3" s="23" t="s">
        <v>184</v>
      </c>
      <c r="AT3" s="23" t="s">
        <v>185</v>
      </c>
      <c r="AU3" s="23" t="s">
        <v>186</v>
      </c>
      <c r="AV3" s="23" t="s">
        <v>187</v>
      </c>
      <c r="AW3" s="23" t="s">
        <v>188</v>
      </c>
      <c r="AX3" s="23" t="s">
        <v>189</v>
      </c>
      <c r="AY3" s="23" t="s">
        <v>190</v>
      </c>
      <c r="AZ3" s="23" t="s">
        <v>191</v>
      </c>
      <c r="BA3" s="23" t="s">
        <v>192</v>
      </c>
      <c r="BB3" s="23" t="s">
        <v>193</v>
      </c>
      <c r="BC3" s="23" t="s">
        <v>194</v>
      </c>
      <c r="BD3" s="23" t="s">
        <v>195</v>
      </c>
      <c r="BE3" s="23" t="s">
        <v>196</v>
      </c>
      <c r="BF3" s="23" t="s">
        <v>197</v>
      </c>
      <c r="BG3" s="23" t="s">
        <v>198</v>
      </c>
      <c r="BH3" s="23" t="s">
        <v>199</v>
      </c>
      <c r="BI3" s="23" t="s">
        <v>200</v>
      </c>
      <c r="BJ3" s="23" t="s">
        <v>201</v>
      </c>
      <c r="BK3" s="23" t="s">
        <v>202</v>
      </c>
      <c r="BL3" s="23" t="s">
        <v>203</v>
      </c>
      <c r="BM3" s="23" t="s">
        <v>204</v>
      </c>
      <c r="BN3" s="23" t="s">
        <v>205</v>
      </c>
      <c r="BO3" s="24" t="s">
        <v>45</v>
      </c>
      <c r="BP3" s="24" t="s">
        <v>46</v>
      </c>
      <c r="BQ3" s="24" t="s">
        <v>47</v>
      </c>
      <c r="BR3" s="24" t="s">
        <v>48</v>
      </c>
      <c r="BS3" s="24" t="s">
        <v>49</v>
      </c>
      <c r="BT3" s="24" t="s">
        <v>50</v>
      </c>
      <c r="BU3" s="24" t="s">
        <v>117</v>
      </c>
      <c r="BV3" s="24" t="s">
        <v>123</v>
      </c>
      <c r="BW3" s="24" t="s">
        <v>124</v>
      </c>
      <c r="BX3" s="24" t="s">
        <v>125</v>
      </c>
      <c r="BY3" s="24" t="s">
        <v>126</v>
      </c>
      <c r="BZ3" s="24" t="s">
        <v>127</v>
      </c>
      <c r="CA3" s="24" t="s">
        <v>128</v>
      </c>
      <c r="CB3" s="24" t="s">
        <v>129</v>
      </c>
      <c r="CC3" s="24" t="s">
        <v>130</v>
      </c>
      <c r="CD3" s="24" t="s">
        <v>131</v>
      </c>
      <c r="CE3" s="24" t="s">
        <v>132</v>
      </c>
      <c r="CF3" s="24" t="s">
        <v>133</v>
      </c>
      <c r="CG3" s="24" t="s">
        <v>134</v>
      </c>
      <c r="CH3" s="24" t="s">
        <v>135</v>
      </c>
      <c r="CI3" s="24" t="s">
        <v>136</v>
      </c>
      <c r="CJ3" s="24" t="s">
        <v>137</v>
      </c>
      <c r="CK3" s="24" t="s">
        <v>138</v>
      </c>
      <c r="CL3" s="24" t="s">
        <v>139</v>
      </c>
      <c r="CM3" s="24" t="s">
        <v>140</v>
      </c>
      <c r="CN3" s="24" t="s">
        <v>141</v>
      </c>
      <c r="CO3" s="24" t="s">
        <v>142</v>
      </c>
      <c r="CP3" s="24" t="s">
        <v>143</v>
      </c>
      <c r="CQ3" s="24" t="s">
        <v>144</v>
      </c>
      <c r="CR3" s="24" t="s">
        <v>145</v>
      </c>
      <c r="CS3" s="24" t="s">
        <v>146</v>
      </c>
      <c r="CT3" s="24" t="s">
        <v>119</v>
      </c>
      <c r="CU3" s="24" t="s">
        <v>120</v>
      </c>
      <c r="CV3" s="24" t="s">
        <v>121</v>
      </c>
      <c r="CW3" s="24" t="s">
        <v>122</v>
      </c>
      <c r="CX3" s="24" t="s">
        <v>147</v>
      </c>
      <c r="CY3" s="24" t="s">
        <v>148</v>
      </c>
      <c r="CZ3" s="24" t="s">
        <v>149</v>
      </c>
      <c r="DA3" s="24" t="s">
        <v>150</v>
      </c>
      <c r="DB3" s="24" t="s">
        <v>151</v>
      </c>
      <c r="DC3" s="24" t="s">
        <v>152</v>
      </c>
      <c r="DD3" s="24" t="s">
        <v>153</v>
      </c>
      <c r="DE3" s="24" t="s">
        <v>154</v>
      </c>
      <c r="DF3" s="24" t="s">
        <v>155</v>
      </c>
      <c r="DG3" s="24" t="s">
        <v>156</v>
      </c>
      <c r="DH3" s="24" t="s">
        <v>157</v>
      </c>
      <c r="DI3" s="24" t="s">
        <v>158</v>
      </c>
      <c r="DJ3" s="24" t="s">
        <v>159</v>
      </c>
      <c r="DK3" s="24" t="s">
        <v>160</v>
      </c>
      <c r="DL3" s="24" t="s">
        <v>161</v>
      </c>
      <c r="DM3" s="26" t="s">
        <v>62</v>
      </c>
      <c r="DN3" s="26" t="s">
        <v>63</v>
      </c>
      <c r="DO3" s="26" t="s">
        <v>64</v>
      </c>
      <c r="DP3" s="26" t="s">
        <v>65</v>
      </c>
      <c r="DQ3" s="26" t="s">
        <v>66</v>
      </c>
      <c r="DR3" s="26" t="s">
        <v>67</v>
      </c>
      <c r="DS3" s="26" t="s">
        <v>206</v>
      </c>
      <c r="DT3" s="26" t="s">
        <v>207</v>
      </c>
      <c r="DU3" s="26" t="s">
        <v>208</v>
      </c>
      <c r="DV3" s="26" t="s">
        <v>209</v>
      </c>
      <c r="DW3" s="26" t="s">
        <v>210</v>
      </c>
      <c r="DX3" s="26" t="s">
        <v>211</v>
      </c>
      <c r="DY3" s="26" t="s">
        <v>212</v>
      </c>
      <c r="DZ3" s="26" t="s">
        <v>213</v>
      </c>
      <c r="EA3" s="26" t="s">
        <v>214</v>
      </c>
      <c r="EB3" s="26" t="s">
        <v>215</v>
      </c>
      <c r="EC3" s="26" t="s">
        <v>216</v>
      </c>
      <c r="ED3" s="26" t="s">
        <v>217</v>
      </c>
      <c r="EE3" s="26" t="s">
        <v>218</v>
      </c>
      <c r="EF3" s="26" t="s">
        <v>219</v>
      </c>
      <c r="EG3" s="26" t="s">
        <v>220</v>
      </c>
      <c r="EH3" s="26" t="s">
        <v>221</v>
      </c>
      <c r="EI3" s="26" t="s">
        <v>222</v>
      </c>
      <c r="EJ3" s="26" t="s">
        <v>223</v>
      </c>
      <c r="EK3" s="26" t="s">
        <v>224</v>
      </c>
      <c r="EL3" s="26" t="s">
        <v>225</v>
      </c>
      <c r="EM3" s="26" t="s">
        <v>226</v>
      </c>
      <c r="EN3" s="26" t="s">
        <v>227</v>
      </c>
      <c r="EO3" s="26" t="s">
        <v>228</v>
      </c>
      <c r="EP3" s="26" t="s">
        <v>229</v>
      </c>
      <c r="EQ3" s="26" t="s">
        <v>230</v>
      </c>
      <c r="ER3" s="26" t="s">
        <v>231</v>
      </c>
      <c r="ES3" s="26" t="s">
        <v>232</v>
      </c>
      <c r="ET3" s="26" t="s">
        <v>233</v>
      </c>
      <c r="EU3" s="26" t="s">
        <v>234</v>
      </c>
      <c r="EV3" s="26" t="s">
        <v>235</v>
      </c>
      <c r="EW3" s="26" t="s">
        <v>236</v>
      </c>
      <c r="EX3" s="26" t="s">
        <v>237</v>
      </c>
      <c r="EY3" s="26" t="s">
        <v>238</v>
      </c>
      <c r="EZ3" s="26" t="s">
        <v>239</v>
      </c>
      <c r="FA3" s="26" t="s">
        <v>240</v>
      </c>
      <c r="FB3" s="26" t="s">
        <v>241</v>
      </c>
      <c r="FC3" s="26" t="s">
        <v>242</v>
      </c>
      <c r="FD3" s="26" t="s">
        <v>243</v>
      </c>
      <c r="FE3" s="26" t="s">
        <v>244</v>
      </c>
      <c r="FF3" s="26" t="s">
        <v>245</v>
      </c>
      <c r="FG3" s="26" t="s">
        <v>246</v>
      </c>
      <c r="FH3" s="26" t="s">
        <v>247</v>
      </c>
      <c r="FI3" s="26" t="s">
        <v>248</v>
      </c>
      <c r="FJ3" s="26" t="s">
        <v>249</v>
      </c>
      <c r="FK3" s="27" t="s">
        <v>68</v>
      </c>
      <c r="FL3" s="27" t="s">
        <v>69</v>
      </c>
      <c r="FM3" s="27" t="s">
        <v>70</v>
      </c>
      <c r="FN3" s="27" t="s">
        <v>71</v>
      </c>
      <c r="FO3" s="27" t="s">
        <v>72</v>
      </c>
      <c r="FP3" s="27" t="s">
        <v>73</v>
      </c>
      <c r="FQ3" s="27" t="s">
        <v>118</v>
      </c>
      <c r="FR3" s="27" t="s">
        <v>250</v>
      </c>
      <c r="FS3" s="27" t="s">
        <v>251</v>
      </c>
      <c r="FT3" s="27" t="s">
        <v>252</v>
      </c>
      <c r="FU3" s="27" t="s">
        <v>253</v>
      </c>
      <c r="FV3" s="27" t="s">
        <v>254</v>
      </c>
      <c r="FW3" s="27" t="s">
        <v>255</v>
      </c>
      <c r="FX3" s="27" t="s">
        <v>256</v>
      </c>
      <c r="FY3" s="27" t="s">
        <v>257</v>
      </c>
      <c r="FZ3" s="27" t="s">
        <v>258</v>
      </c>
      <c r="GA3" s="27" t="s">
        <v>259</v>
      </c>
      <c r="GB3" s="27" t="s">
        <v>260</v>
      </c>
      <c r="GC3" s="27" t="s">
        <v>261</v>
      </c>
      <c r="GD3" s="27" t="s">
        <v>262</v>
      </c>
      <c r="GE3" s="27" t="s">
        <v>263</v>
      </c>
      <c r="GF3" s="27" t="s">
        <v>264</v>
      </c>
      <c r="GG3" s="27" t="s">
        <v>265</v>
      </c>
      <c r="GH3" s="27" t="s">
        <v>266</v>
      </c>
      <c r="GI3" s="27" t="s">
        <v>267</v>
      </c>
      <c r="GJ3" s="27" t="s">
        <v>268</v>
      </c>
      <c r="GK3" s="27" t="s">
        <v>269</v>
      </c>
      <c r="GL3" s="27" t="s">
        <v>270</v>
      </c>
      <c r="GM3" s="27" t="s">
        <v>271</v>
      </c>
      <c r="GN3" s="27" t="s">
        <v>272</v>
      </c>
      <c r="GO3" s="27" t="s">
        <v>273</v>
      </c>
      <c r="GP3" s="27" t="s">
        <v>274</v>
      </c>
      <c r="GQ3" s="27" t="s">
        <v>275</v>
      </c>
      <c r="GR3" s="27" t="s">
        <v>276</v>
      </c>
      <c r="GS3" s="27" t="s">
        <v>277</v>
      </c>
      <c r="GT3" s="27" t="s">
        <v>278</v>
      </c>
      <c r="GU3" s="27" t="s">
        <v>279</v>
      </c>
      <c r="GV3" s="27" t="s">
        <v>280</v>
      </c>
      <c r="GW3" s="27" t="s">
        <v>281</v>
      </c>
      <c r="GX3" s="27" t="s">
        <v>282</v>
      </c>
      <c r="GY3" s="27" t="s">
        <v>283</v>
      </c>
      <c r="GZ3" s="27" t="s">
        <v>284</v>
      </c>
      <c r="HA3" s="27" t="s">
        <v>285</v>
      </c>
      <c r="HB3" s="27" t="s">
        <v>286</v>
      </c>
      <c r="HC3" s="27" t="s">
        <v>287</v>
      </c>
      <c r="HD3" s="27" t="s">
        <v>288</v>
      </c>
      <c r="HE3" s="27" t="s">
        <v>289</v>
      </c>
      <c r="HF3" s="27" t="s">
        <v>290</v>
      </c>
      <c r="HG3" s="27" t="s">
        <v>291</v>
      </c>
      <c r="HH3" s="27" t="s">
        <v>292</v>
      </c>
      <c r="HI3" s="75" t="s">
        <v>307</v>
      </c>
    </row>
    <row r="4" spans="1:218" x14ac:dyDescent="0.25">
      <c r="A4" s="22" t="s">
        <v>61</v>
      </c>
      <c r="B4" s="22" t="s">
        <v>61</v>
      </c>
      <c r="C4" s="22" t="s">
        <v>311</v>
      </c>
      <c r="D4" s="22" t="s">
        <v>60</v>
      </c>
      <c r="E4" s="22">
        <v>1</v>
      </c>
      <c r="F4" s="22">
        <v>0</v>
      </c>
      <c r="G4" s="22">
        <v>1</v>
      </c>
      <c r="H4" s="22">
        <v>1</v>
      </c>
      <c r="I4" s="22">
        <v>0</v>
      </c>
      <c r="J4" s="22">
        <v>1</v>
      </c>
      <c r="K4" s="17">
        <f>SUM(Table1[[#This Row],[Challenge 1]:[Challenge 50]])</f>
        <v>0</v>
      </c>
      <c r="L4" s="88">
        <f>SUM(Table1[[#This Row],[Club 1]:[Club 50]])</f>
        <v>1</v>
      </c>
      <c r="M4" s="88">
        <f>SUM(Table1[[#This Row],[Intra-school sports 1]:[Intra-school sports 50]])</f>
        <v>1</v>
      </c>
      <c r="N4" s="88">
        <f>SUM(Table1[[#This Row],[Inter School sports 1]:[Inter School sports 50]])</f>
        <v>0</v>
      </c>
      <c r="O4" s="17">
        <f>COUNTIF(Table1[[#This Row],[Community club (type name of club(s). All clubs will count as ''1'']],"*")</f>
        <v>0</v>
      </c>
      <c r="P4" s="17">
        <f>IF(OR(Table1[[#This Row],[Total Challenges]]&gt;0,Table1[[#This Row],[Total Ex-C Clubs]]&gt;0,Table1[[#This Row],[Total Intra-School Sports]]&gt;0,Table1[[#This Row],[Total Inter-School Sports]]&gt;0,Table1[[#This Row],[Community Clubs]]&gt;0),1,0)</f>
        <v>1</v>
      </c>
      <c r="Q4" s="22">
        <v>0</v>
      </c>
      <c r="R4" s="22">
        <v>0</v>
      </c>
      <c r="S4" s="22">
        <v>0</v>
      </c>
      <c r="T4" s="22">
        <v>0</v>
      </c>
      <c r="U4" s="22">
        <v>0</v>
      </c>
      <c r="V4" s="22">
        <v>0</v>
      </c>
      <c r="W4" s="22">
        <v>0</v>
      </c>
      <c r="X4" s="22">
        <v>0</v>
      </c>
      <c r="Y4" s="22">
        <v>0</v>
      </c>
      <c r="Z4" s="22">
        <v>0</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18">
        <v>1</v>
      </c>
      <c r="BP4" s="18">
        <v>0</v>
      </c>
      <c r="BQ4" s="18">
        <v>0</v>
      </c>
      <c r="BR4" s="18">
        <v>0</v>
      </c>
      <c r="BS4" s="18">
        <v>0</v>
      </c>
      <c r="BT4" s="18">
        <v>0</v>
      </c>
      <c r="BU4" s="18">
        <v>0</v>
      </c>
      <c r="BV4" s="18">
        <v>0</v>
      </c>
      <c r="BW4" s="18">
        <v>0</v>
      </c>
      <c r="BX4" s="18">
        <v>0</v>
      </c>
      <c r="BY4" s="18">
        <v>0</v>
      </c>
      <c r="BZ4" s="18">
        <v>0</v>
      </c>
      <c r="CA4" s="18">
        <v>0</v>
      </c>
      <c r="CB4" s="18">
        <v>0</v>
      </c>
      <c r="CC4" s="18">
        <v>0</v>
      </c>
      <c r="CD4" s="18">
        <v>0</v>
      </c>
      <c r="CE4" s="18">
        <v>0</v>
      </c>
      <c r="CF4" s="18">
        <v>0</v>
      </c>
      <c r="CG4" s="18">
        <v>0</v>
      </c>
      <c r="CH4" s="18">
        <v>0</v>
      </c>
      <c r="CI4" s="18">
        <v>0</v>
      </c>
      <c r="CJ4" s="18">
        <v>0</v>
      </c>
      <c r="CK4" s="18">
        <v>0</v>
      </c>
      <c r="CL4" s="18">
        <v>0</v>
      </c>
      <c r="CM4" s="18">
        <v>0</v>
      </c>
      <c r="CN4" s="18">
        <v>0</v>
      </c>
      <c r="CO4" s="18">
        <v>0</v>
      </c>
      <c r="CP4" s="18">
        <v>0</v>
      </c>
      <c r="CQ4" s="18">
        <v>0</v>
      </c>
      <c r="CR4" s="18">
        <v>0</v>
      </c>
      <c r="CS4" s="18">
        <v>0</v>
      </c>
      <c r="CT4" s="18">
        <v>0</v>
      </c>
      <c r="CU4" s="18">
        <v>0</v>
      </c>
      <c r="CV4" s="18">
        <v>0</v>
      </c>
      <c r="CW4" s="18">
        <v>0</v>
      </c>
      <c r="CX4" s="18">
        <v>0</v>
      </c>
      <c r="CY4" s="18">
        <v>0</v>
      </c>
      <c r="CZ4" s="18">
        <v>0</v>
      </c>
      <c r="DA4" s="18">
        <v>0</v>
      </c>
      <c r="DB4" s="18">
        <v>0</v>
      </c>
      <c r="DC4" s="18">
        <v>0</v>
      </c>
      <c r="DD4" s="18">
        <v>0</v>
      </c>
      <c r="DE4" s="18">
        <v>0</v>
      </c>
      <c r="DF4" s="18">
        <v>0</v>
      </c>
      <c r="DG4" s="18">
        <v>0</v>
      </c>
      <c r="DH4" s="18">
        <v>0</v>
      </c>
      <c r="DI4" s="18">
        <v>0</v>
      </c>
      <c r="DJ4" s="18">
        <v>0</v>
      </c>
      <c r="DK4" s="18">
        <v>0</v>
      </c>
      <c r="DL4" s="18">
        <v>0</v>
      </c>
      <c r="DM4" s="18">
        <v>0</v>
      </c>
      <c r="DN4" s="18">
        <v>0</v>
      </c>
      <c r="DO4" s="18">
        <v>1</v>
      </c>
      <c r="DP4" s="18">
        <v>0</v>
      </c>
      <c r="DQ4" s="18">
        <v>0</v>
      </c>
      <c r="DR4" s="18">
        <v>0</v>
      </c>
      <c r="DS4" s="18">
        <v>0</v>
      </c>
      <c r="DT4" s="18">
        <v>0</v>
      </c>
      <c r="DU4" s="18">
        <v>0</v>
      </c>
      <c r="DV4" s="18">
        <v>0</v>
      </c>
      <c r="DW4" s="18">
        <v>0</v>
      </c>
      <c r="DX4" s="18">
        <v>0</v>
      </c>
      <c r="DY4" s="18">
        <v>0</v>
      </c>
      <c r="DZ4" s="18">
        <v>0</v>
      </c>
      <c r="EA4" s="18">
        <v>0</v>
      </c>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v>0</v>
      </c>
      <c r="FL4" s="18">
        <v>0</v>
      </c>
      <c r="FM4" s="18">
        <v>0</v>
      </c>
      <c r="FN4" s="18">
        <v>0</v>
      </c>
      <c r="FO4" s="18">
        <v>0</v>
      </c>
      <c r="FP4" s="18">
        <v>0</v>
      </c>
      <c r="FQ4" s="18">
        <v>0</v>
      </c>
      <c r="FR4" s="18">
        <v>0</v>
      </c>
      <c r="FS4" s="18">
        <v>0</v>
      </c>
      <c r="FT4" s="18">
        <v>0</v>
      </c>
      <c r="FU4" s="18">
        <v>0</v>
      </c>
      <c r="FV4" s="18">
        <v>0</v>
      </c>
      <c r="FW4" s="18">
        <v>0</v>
      </c>
      <c r="FX4" s="18">
        <v>0</v>
      </c>
      <c r="FY4" s="18">
        <v>0</v>
      </c>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row>
    <row r="5" spans="1:218" x14ac:dyDescent="0.25">
      <c r="A5" s="22" t="s">
        <v>61</v>
      </c>
      <c r="B5" s="22" t="s">
        <v>61</v>
      </c>
      <c r="C5" s="22" t="s">
        <v>311</v>
      </c>
      <c r="D5" s="22"/>
      <c r="E5" s="22"/>
      <c r="F5" s="22"/>
      <c r="G5" s="22"/>
      <c r="H5" s="22"/>
      <c r="I5" s="22"/>
      <c r="J5" s="22"/>
      <c r="K5" s="17">
        <f>SUM(Table1[[#This Row],[Challenge 1]:[Challenge 50]])</f>
        <v>0</v>
      </c>
      <c r="L5" s="88">
        <f>SUM(Table1[[#This Row],[Club 1]:[Club 50]])</f>
        <v>0</v>
      </c>
      <c r="M5" s="88">
        <f>SUM(Table1[[#This Row],[Intra-school sports 1]:[Intra-school sports 50]])</f>
        <v>0</v>
      </c>
      <c r="N5" s="88">
        <f>SUM(Table1[[#This Row],[Inter School sports 1]:[Inter School sports 50]])</f>
        <v>0</v>
      </c>
      <c r="O5" s="17">
        <f>COUNTIF(Table1[[#This Row],[Community club (type name of club(s). All clubs will count as ''1'']],"*")</f>
        <v>0</v>
      </c>
      <c r="P5" s="17">
        <f>IF(OR(Table1[[#This Row],[Total Challenges]]&gt;0,Table1[[#This Row],[Total Ex-C Clubs]]&gt;0,Table1[[#This Row],[Total Intra-School Sports]]&gt;0,Table1[[#This Row],[Total Inter-School Sports]]&gt;0,Table1[[#This Row],[Community Clubs]]&gt;0),1,0)</f>
        <v>0</v>
      </c>
      <c r="Q5" s="22"/>
      <c r="R5" s="22"/>
      <c r="S5" s="22"/>
      <c r="T5" s="22"/>
      <c r="U5" s="22"/>
      <c r="V5" s="22"/>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row>
    <row r="6" spans="1:218" x14ac:dyDescent="0.25">
      <c r="A6" s="22" t="s">
        <v>61</v>
      </c>
      <c r="B6" s="22" t="s">
        <v>61</v>
      </c>
      <c r="C6" s="22" t="s">
        <v>311</v>
      </c>
      <c r="D6" s="22"/>
      <c r="E6" s="22"/>
      <c r="F6" s="22"/>
      <c r="G6" s="22"/>
      <c r="H6" s="22"/>
      <c r="I6" s="22"/>
      <c r="J6" s="22"/>
      <c r="K6" s="17">
        <f>SUM(Table1[[#This Row],[Challenge 1]:[Challenge 50]])</f>
        <v>0</v>
      </c>
      <c r="L6" s="88">
        <f>SUM(Table1[[#This Row],[Club 1]:[Club 50]])</f>
        <v>0</v>
      </c>
      <c r="M6" s="88">
        <f>SUM(Table1[[#This Row],[Intra-school sports 1]:[Intra-school sports 50]])</f>
        <v>0</v>
      </c>
      <c r="N6" s="88">
        <f>SUM(Table1[[#This Row],[Inter School sports 1]:[Inter School sports 50]])</f>
        <v>0</v>
      </c>
      <c r="O6" s="17">
        <f>COUNTIF(Table1[[#This Row],[Community club (type name of club(s). All clubs will count as ''1'']],"*")</f>
        <v>0</v>
      </c>
      <c r="P6" s="17">
        <f>IF(OR(Table1[[#This Row],[Total Challenges]]&gt;0,Table1[[#This Row],[Total Ex-C Clubs]]&gt;0,Table1[[#This Row],[Total Intra-School Sports]]&gt;0,Table1[[#This Row],[Total Inter-School Sports]]&gt;0,Table1[[#This Row],[Community Clubs]]&gt;0),1,0)</f>
        <v>0</v>
      </c>
      <c r="Q6" s="22"/>
      <c r="R6" s="22"/>
      <c r="S6" s="22"/>
      <c r="T6" s="22"/>
      <c r="U6" s="22"/>
      <c r="V6" s="22"/>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row>
    <row r="7" spans="1:218" x14ac:dyDescent="0.25">
      <c r="A7" s="22" t="s">
        <v>61</v>
      </c>
      <c r="B7" s="22" t="s">
        <v>61</v>
      </c>
      <c r="C7" s="22" t="s">
        <v>311</v>
      </c>
      <c r="D7" s="22"/>
      <c r="E7" s="22"/>
      <c r="F7" s="22"/>
      <c r="G7" s="22"/>
      <c r="H7" s="22"/>
      <c r="I7" s="22"/>
      <c r="J7" s="22"/>
      <c r="K7" s="17">
        <f>SUM(Table1[[#This Row],[Challenge 1]:[Challenge 50]])</f>
        <v>0</v>
      </c>
      <c r="L7" s="88">
        <f>SUM(Table1[[#This Row],[Club 1]:[Club 50]])</f>
        <v>0</v>
      </c>
      <c r="M7" s="88">
        <f>SUM(Table1[[#This Row],[Intra-school sports 1]:[Intra-school sports 50]])</f>
        <v>0</v>
      </c>
      <c r="N7" s="88">
        <f>SUM(Table1[[#This Row],[Inter School sports 1]:[Inter School sports 50]])</f>
        <v>0</v>
      </c>
      <c r="O7" s="17">
        <f>COUNTIF(Table1[[#This Row],[Community club (type name of club(s). All clubs will count as ''1'']],"*")</f>
        <v>0</v>
      </c>
      <c r="P7" s="17">
        <f>IF(OR(Table1[[#This Row],[Total Challenges]]&gt;0,Table1[[#This Row],[Total Ex-C Clubs]]&gt;0,Table1[[#This Row],[Total Intra-School Sports]]&gt;0,Table1[[#This Row],[Total Inter-School Sports]]&gt;0,Table1[[#This Row],[Community Clubs]]&gt;0),1,0)</f>
        <v>0</v>
      </c>
      <c r="Q7" s="22"/>
      <c r="R7" s="22"/>
      <c r="S7" s="22"/>
      <c r="T7" s="22"/>
      <c r="U7" s="22"/>
      <c r="V7" s="22"/>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row>
    <row r="8" spans="1:218" x14ac:dyDescent="0.25">
      <c r="A8" s="22" t="s">
        <v>61</v>
      </c>
      <c r="B8" s="22" t="s">
        <v>61</v>
      </c>
      <c r="C8" s="22" t="s">
        <v>311</v>
      </c>
      <c r="D8" s="22"/>
      <c r="E8" s="22"/>
      <c r="F8" s="22"/>
      <c r="G8" s="22"/>
      <c r="H8" s="22"/>
      <c r="I8" s="22"/>
      <c r="J8" s="22"/>
      <c r="K8" s="17">
        <f>SUM(Table1[[#This Row],[Challenge 1]:[Challenge 50]])</f>
        <v>0</v>
      </c>
      <c r="L8" s="88">
        <f>SUM(Table1[[#This Row],[Club 1]:[Club 50]])</f>
        <v>0</v>
      </c>
      <c r="M8" s="88">
        <f>SUM(Table1[[#This Row],[Intra-school sports 1]:[Intra-school sports 50]])</f>
        <v>0</v>
      </c>
      <c r="N8" s="88">
        <f>SUM(Table1[[#This Row],[Inter School sports 1]:[Inter School sports 50]])</f>
        <v>0</v>
      </c>
      <c r="O8" s="17">
        <f>COUNTIF(Table1[[#This Row],[Community club (type name of club(s). All clubs will count as ''1'']],"*")</f>
        <v>0</v>
      </c>
      <c r="P8" s="17">
        <f>IF(OR(Table1[[#This Row],[Total Challenges]]&gt;0,Table1[[#This Row],[Total Ex-C Clubs]]&gt;0,Table1[[#This Row],[Total Intra-School Sports]]&gt;0,Table1[[#This Row],[Total Inter-School Sports]]&gt;0,Table1[[#This Row],[Community Clubs]]&gt;0),1,0)</f>
        <v>0</v>
      </c>
      <c r="Q8" s="22"/>
      <c r="R8" s="22"/>
      <c r="S8" s="22"/>
      <c r="T8" s="22"/>
      <c r="U8" s="22"/>
      <c r="V8" s="22"/>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21"/>
    </row>
    <row r="9" spans="1:218" x14ac:dyDescent="0.25">
      <c r="A9" s="22"/>
      <c r="B9" s="22"/>
      <c r="C9" s="22"/>
      <c r="D9" s="22"/>
      <c r="E9" s="22"/>
      <c r="F9" s="22"/>
      <c r="G9" s="22"/>
      <c r="H9" s="22"/>
      <c r="I9" s="22"/>
      <c r="J9" s="22"/>
      <c r="K9" s="17">
        <f>SUM(Table1[[#This Row],[Challenge 1]:[Challenge 50]])</f>
        <v>0</v>
      </c>
      <c r="L9" s="88">
        <f>SUM(Table1[[#This Row],[Club 1]:[Club 50]])</f>
        <v>0</v>
      </c>
      <c r="M9" s="88">
        <f>SUM(Table1[[#This Row],[Intra-school sports 1]:[Intra-school sports 50]])</f>
        <v>0</v>
      </c>
      <c r="N9" s="88">
        <f>SUM(Table1[[#This Row],[Inter School sports 1]:[Inter School sports 50]])</f>
        <v>0</v>
      </c>
      <c r="O9" s="17">
        <f>COUNTIF(Table1[[#This Row],[Community club (type name of club(s). All clubs will count as ''1'']],"*")</f>
        <v>0</v>
      </c>
      <c r="P9" s="17">
        <f>IF(OR(Table1[[#This Row],[Total Challenges]]&gt;0,Table1[[#This Row],[Total Ex-C Clubs]]&gt;0,Table1[[#This Row],[Total Intra-School Sports]]&gt;0,Table1[[#This Row],[Total Inter-School Sports]]&gt;0,Table1[[#This Row],[Community Clubs]]&gt;0),1,0)</f>
        <v>0</v>
      </c>
      <c r="Q9" s="22"/>
      <c r="R9" s="22"/>
      <c r="S9" s="22"/>
      <c r="T9" s="22"/>
      <c r="U9" s="22"/>
      <c r="V9" s="22"/>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21"/>
    </row>
    <row r="10" spans="1:218" x14ac:dyDescent="0.25">
      <c r="A10" s="22"/>
      <c r="B10" s="22"/>
      <c r="C10" s="22"/>
      <c r="D10" s="22"/>
      <c r="E10" s="22"/>
      <c r="F10" s="22"/>
      <c r="G10" s="22"/>
      <c r="H10" s="22"/>
      <c r="I10" s="22"/>
      <c r="J10" s="22"/>
      <c r="K10" s="17">
        <f>SUM(Table1[[#This Row],[Challenge 1]:[Challenge 50]])</f>
        <v>0</v>
      </c>
      <c r="L10" s="88">
        <f>SUM(Table1[[#This Row],[Club 1]:[Club 50]])</f>
        <v>0</v>
      </c>
      <c r="M10" s="88">
        <f>SUM(Table1[[#This Row],[Intra-school sports 1]:[Intra-school sports 50]])</f>
        <v>0</v>
      </c>
      <c r="N10" s="88">
        <f>SUM(Table1[[#This Row],[Inter School sports 1]:[Inter School sports 50]])</f>
        <v>0</v>
      </c>
      <c r="O10" s="17">
        <f>COUNTIF(Table1[[#This Row],[Community club (type name of club(s). All clubs will count as ''1'']],"*")</f>
        <v>0</v>
      </c>
      <c r="P10" s="17">
        <f>IF(OR(Table1[[#This Row],[Total Challenges]]&gt;0,Table1[[#This Row],[Total Ex-C Clubs]]&gt;0,Table1[[#This Row],[Total Intra-School Sports]]&gt;0,Table1[[#This Row],[Total Inter-School Sports]]&gt;0,Table1[[#This Row],[Community Clubs]]&gt;0),1,0)</f>
        <v>0</v>
      </c>
      <c r="Q10" s="22"/>
      <c r="R10" s="22"/>
      <c r="S10" s="22"/>
      <c r="T10" s="22"/>
      <c r="U10" s="22"/>
      <c r="V10" s="22"/>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21"/>
    </row>
    <row r="11" spans="1:218" x14ac:dyDescent="0.25">
      <c r="A11" s="22"/>
      <c r="B11" s="22"/>
      <c r="C11" s="22"/>
      <c r="D11" s="22"/>
      <c r="E11" s="22"/>
      <c r="F11" s="22"/>
      <c r="G11" s="22"/>
      <c r="H11" s="22"/>
      <c r="I11" s="22"/>
      <c r="J11" s="22"/>
      <c r="K11" s="17">
        <f>SUM(Table1[[#This Row],[Challenge 1]:[Challenge 50]])</f>
        <v>0</v>
      </c>
      <c r="L11" s="88">
        <f>SUM(Table1[[#This Row],[Club 1]:[Club 50]])</f>
        <v>0</v>
      </c>
      <c r="M11" s="88">
        <f>SUM(Table1[[#This Row],[Intra-school sports 1]:[Intra-school sports 50]])</f>
        <v>0</v>
      </c>
      <c r="N11" s="88">
        <f>SUM(Table1[[#This Row],[Inter School sports 1]:[Inter School sports 50]])</f>
        <v>0</v>
      </c>
      <c r="O11" s="17">
        <f>COUNTIF(Table1[[#This Row],[Community club (type name of club(s). All clubs will count as ''1'']],"*")</f>
        <v>0</v>
      </c>
      <c r="P11" s="17">
        <f>IF(OR(Table1[[#This Row],[Total Challenges]]&gt;0,Table1[[#This Row],[Total Ex-C Clubs]]&gt;0,Table1[[#This Row],[Total Intra-School Sports]]&gt;0,Table1[[#This Row],[Total Inter-School Sports]]&gt;0,Table1[[#This Row],[Community Clubs]]&gt;0),1,0)</f>
        <v>0</v>
      </c>
      <c r="Q11" s="22"/>
      <c r="R11" s="22"/>
      <c r="S11" s="22"/>
      <c r="T11" s="22"/>
      <c r="U11" s="22"/>
      <c r="V11" s="22"/>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21"/>
    </row>
    <row r="12" spans="1:218" x14ac:dyDescent="0.25">
      <c r="A12" s="22"/>
      <c r="B12" s="22"/>
      <c r="C12" s="22"/>
      <c r="D12" s="22"/>
      <c r="E12" s="22"/>
      <c r="F12" s="22"/>
      <c r="G12" s="22"/>
      <c r="H12" s="22"/>
      <c r="I12" s="22"/>
      <c r="J12" s="22"/>
      <c r="K12" s="17">
        <f>SUM(Table1[[#This Row],[Challenge 1]:[Challenge 50]])</f>
        <v>0</v>
      </c>
      <c r="L12" s="88">
        <f>SUM(Table1[[#This Row],[Club 1]:[Club 50]])</f>
        <v>0</v>
      </c>
      <c r="M12" s="88">
        <f>SUM(Table1[[#This Row],[Intra-school sports 1]:[Intra-school sports 50]])</f>
        <v>0</v>
      </c>
      <c r="N12" s="88">
        <f>SUM(Table1[[#This Row],[Inter School sports 1]:[Inter School sports 50]])</f>
        <v>0</v>
      </c>
      <c r="O12" s="17">
        <f>COUNTIF(Table1[[#This Row],[Community club (type name of club(s). All clubs will count as ''1'']],"*")</f>
        <v>0</v>
      </c>
      <c r="P12" s="17">
        <f>IF(OR(Table1[[#This Row],[Total Challenges]]&gt;0,Table1[[#This Row],[Total Ex-C Clubs]]&gt;0,Table1[[#This Row],[Total Intra-School Sports]]&gt;0,Table1[[#This Row],[Total Inter-School Sports]]&gt;0,Table1[[#This Row],[Community Clubs]]&gt;0),1,0)</f>
        <v>0</v>
      </c>
      <c r="Q12" s="22"/>
      <c r="R12" s="22"/>
      <c r="S12" s="22"/>
      <c r="T12" s="22"/>
      <c r="U12" s="22"/>
      <c r="V12" s="22"/>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21"/>
    </row>
    <row r="13" spans="1:218" x14ac:dyDescent="0.25">
      <c r="A13" s="22"/>
      <c r="B13" s="22"/>
      <c r="C13" s="22"/>
      <c r="D13" s="22"/>
      <c r="E13" s="22"/>
      <c r="F13" s="22"/>
      <c r="G13" s="22"/>
      <c r="H13" s="22"/>
      <c r="I13" s="22"/>
      <c r="J13" s="22"/>
      <c r="K13" s="17">
        <f>SUM(Table1[[#This Row],[Challenge 1]:[Challenge 50]])</f>
        <v>0</v>
      </c>
      <c r="L13" s="88">
        <f>SUM(Table1[[#This Row],[Club 1]:[Club 50]])</f>
        <v>0</v>
      </c>
      <c r="M13" s="88">
        <f>SUM(Table1[[#This Row],[Intra-school sports 1]:[Intra-school sports 50]])</f>
        <v>0</v>
      </c>
      <c r="N13" s="88">
        <f>SUM(Table1[[#This Row],[Inter School sports 1]:[Inter School sports 50]])</f>
        <v>0</v>
      </c>
      <c r="O13" s="17">
        <f>COUNTIF(Table1[[#This Row],[Community club (type name of club(s). All clubs will count as ''1'']],"*")</f>
        <v>0</v>
      </c>
      <c r="P13" s="17">
        <f>IF(OR(Table1[[#This Row],[Total Challenges]]&gt;0,Table1[[#This Row],[Total Ex-C Clubs]]&gt;0,Table1[[#This Row],[Total Intra-School Sports]]&gt;0,Table1[[#This Row],[Total Inter-School Sports]]&gt;0,Table1[[#This Row],[Community Clubs]]&gt;0),1,0)</f>
        <v>0</v>
      </c>
      <c r="Q13" s="22"/>
      <c r="R13" s="22"/>
      <c r="S13" s="22"/>
      <c r="T13" s="22"/>
      <c r="U13" s="22"/>
      <c r="V13" s="22"/>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21"/>
    </row>
    <row r="14" spans="1:218" x14ac:dyDescent="0.25">
      <c r="A14" s="22"/>
      <c r="B14" s="22"/>
      <c r="C14" s="22"/>
      <c r="D14" s="22"/>
      <c r="E14" s="22"/>
      <c r="F14" s="22"/>
      <c r="G14" s="22"/>
      <c r="H14" s="22"/>
      <c r="I14" s="22"/>
      <c r="J14" s="22"/>
      <c r="K14" s="17">
        <f>SUM(Table1[[#This Row],[Challenge 1]:[Challenge 50]])</f>
        <v>0</v>
      </c>
      <c r="L14" s="88">
        <f>SUM(Table1[[#This Row],[Club 1]:[Club 50]])</f>
        <v>0</v>
      </c>
      <c r="M14" s="88">
        <f>SUM(Table1[[#This Row],[Intra-school sports 1]:[Intra-school sports 50]])</f>
        <v>0</v>
      </c>
      <c r="N14" s="88">
        <f>SUM(Table1[[#This Row],[Inter School sports 1]:[Inter School sports 50]])</f>
        <v>0</v>
      </c>
      <c r="O14" s="17">
        <f>COUNTIF(Table1[[#This Row],[Community club (type name of club(s). All clubs will count as ''1'']],"*")</f>
        <v>0</v>
      </c>
      <c r="P14" s="17">
        <f>IF(OR(Table1[[#This Row],[Total Challenges]]&gt;0,Table1[[#This Row],[Total Ex-C Clubs]]&gt;0,Table1[[#This Row],[Total Intra-School Sports]]&gt;0,Table1[[#This Row],[Total Inter-School Sports]]&gt;0,Table1[[#This Row],[Community Clubs]]&gt;0),1,0)</f>
        <v>0</v>
      </c>
      <c r="Q14" s="22"/>
      <c r="R14" s="22"/>
      <c r="S14" s="22"/>
      <c r="T14" s="22"/>
      <c r="U14" s="22"/>
      <c r="V14" s="22"/>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21"/>
    </row>
    <row r="15" spans="1:218" x14ac:dyDescent="0.25">
      <c r="A15" s="22"/>
      <c r="B15" s="22"/>
      <c r="C15" s="22"/>
      <c r="D15" s="22"/>
      <c r="E15" s="22"/>
      <c r="F15" s="22"/>
      <c r="G15" s="22"/>
      <c r="H15" s="22"/>
      <c r="I15" s="22"/>
      <c r="J15" s="22"/>
      <c r="K15" s="17">
        <f>SUM(Table1[[#This Row],[Challenge 1]:[Challenge 50]])</f>
        <v>0</v>
      </c>
      <c r="L15" s="88">
        <f>SUM(Table1[[#This Row],[Club 1]:[Club 50]])</f>
        <v>0</v>
      </c>
      <c r="M15" s="88">
        <f>SUM(Table1[[#This Row],[Intra-school sports 1]:[Intra-school sports 50]])</f>
        <v>0</v>
      </c>
      <c r="N15" s="88">
        <f>SUM(Table1[[#This Row],[Inter School sports 1]:[Inter School sports 50]])</f>
        <v>0</v>
      </c>
      <c r="O15" s="17">
        <f>COUNTIF(Table1[[#This Row],[Community club (type name of club(s). All clubs will count as ''1'']],"*")</f>
        <v>0</v>
      </c>
      <c r="P15" s="17">
        <f>IF(OR(Table1[[#This Row],[Total Challenges]]&gt;0,Table1[[#This Row],[Total Ex-C Clubs]]&gt;0,Table1[[#This Row],[Total Intra-School Sports]]&gt;0,Table1[[#This Row],[Total Inter-School Sports]]&gt;0,Table1[[#This Row],[Community Clubs]]&gt;0),1,0)</f>
        <v>0</v>
      </c>
      <c r="Q15" s="22"/>
      <c r="R15" s="22"/>
      <c r="S15" s="22"/>
      <c r="T15" s="22"/>
      <c r="U15" s="22"/>
      <c r="V15" s="22"/>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21"/>
    </row>
    <row r="16" spans="1:218" x14ac:dyDescent="0.25">
      <c r="A16" s="22"/>
      <c r="B16" s="22"/>
      <c r="C16" s="22"/>
      <c r="D16" s="22"/>
      <c r="E16" s="22"/>
      <c r="F16" s="22"/>
      <c r="G16" s="22"/>
      <c r="H16" s="22"/>
      <c r="I16" s="22"/>
      <c r="J16" s="22"/>
      <c r="K16" s="17">
        <f>SUM(Table1[[#This Row],[Challenge 1]:[Challenge 50]])</f>
        <v>0</v>
      </c>
      <c r="L16" s="88">
        <f>SUM(Table1[[#This Row],[Club 1]:[Club 50]])</f>
        <v>0</v>
      </c>
      <c r="M16" s="88">
        <f>SUM(Table1[[#This Row],[Intra-school sports 1]:[Intra-school sports 50]])</f>
        <v>0</v>
      </c>
      <c r="N16" s="88">
        <f>SUM(Table1[[#This Row],[Inter School sports 1]:[Inter School sports 50]])</f>
        <v>0</v>
      </c>
      <c r="O16" s="17">
        <f>COUNTIF(Table1[[#This Row],[Community club (type name of club(s). All clubs will count as ''1'']],"*")</f>
        <v>0</v>
      </c>
      <c r="P16" s="17">
        <f>IF(OR(Table1[[#This Row],[Total Challenges]]&gt;0,Table1[[#This Row],[Total Ex-C Clubs]]&gt;0,Table1[[#This Row],[Total Intra-School Sports]]&gt;0,Table1[[#This Row],[Total Inter-School Sports]]&gt;0,Table1[[#This Row],[Community Clubs]]&gt;0),1,0)</f>
        <v>0</v>
      </c>
      <c r="Q16" s="22"/>
      <c r="R16" s="22"/>
      <c r="S16" s="22"/>
      <c r="T16" s="22"/>
      <c r="U16" s="22"/>
      <c r="V16" s="22"/>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21"/>
    </row>
    <row r="17" spans="1:218" x14ac:dyDescent="0.25">
      <c r="A17" s="22"/>
      <c r="B17" s="22"/>
      <c r="C17" s="22"/>
      <c r="D17" s="22"/>
      <c r="E17" s="22"/>
      <c r="F17" s="22"/>
      <c r="G17" s="22"/>
      <c r="H17" s="22"/>
      <c r="I17" s="22"/>
      <c r="J17" s="22"/>
      <c r="K17" s="17">
        <f>SUM(Table1[[#This Row],[Challenge 1]:[Challenge 50]])</f>
        <v>0</v>
      </c>
      <c r="L17" s="88">
        <f>SUM(Table1[[#This Row],[Club 1]:[Club 50]])</f>
        <v>0</v>
      </c>
      <c r="M17" s="88">
        <f>SUM(Table1[[#This Row],[Intra-school sports 1]:[Intra-school sports 50]])</f>
        <v>0</v>
      </c>
      <c r="N17" s="88">
        <f>SUM(Table1[[#This Row],[Inter School sports 1]:[Inter School sports 50]])</f>
        <v>0</v>
      </c>
      <c r="O17" s="17">
        <f>COUNTIF(Table1[[#This Row],[Community club (type name of club(s). All clubs will count as ''1'']],"*")</f>
        <v>0</v>
      </c>
      <c r="P17" s="17">
        <f>IF(OR(Table1[[#This Row],[Total Challenges]]&gt;0,Table1[[#This Row],[Total Ex-C Clubs]]&gt;0,Table1[[#This Row],[Total Intra-School Sports]]&gt;0,Table1[[#This Row],[Total Inter-School Sports]]&gt;0,Table1[[#This Row],[Community Clubs]]&gt;0),1,0)</f>
        <v>0</v>
      </c>
      <c r="Q17" s="22"/>
      <c r="R17" s="22"/>
      <c r="S17" s="22"/>
      <c r="T17" s="22"/>
      <c r="U17" s="22"/>
      <c r="V17" s="22"/>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21"/>
    </row>
    <row r="18" spans="1:218" x14ac:dyDescent="0.25">
      <c r="A18" s="22"/>
      <c r="B18" s="22"/>
      <c r="C18" s="22"/>
      <c r="D18" s="22"/>
      <c r="E18" s="22"/>
      <c r="F18" s="22"/>
      <c r="G18" s="22"/>
      <c r="H18" s="22"/>
      <c r="I18" s="22"/>
      <c r="J18" s="22"/>
      <c r="K18" s="17">
        <f>SUM(Table1[[#This Row],[Challenge 1]:[Challenge 50]])</f>
        <v>0</v>
      </c>
      <c r="L18" s="88">
        <f>SUM(Table1[[#This Row],[Club 1]:[Club 50]])</f>
        <v>0</v>
      </c>
      <c r="M18" s="88">
        <f>SUM(Table1[[#This Row],[Intra-school sports 1]:[Intra-school sports 50]])</f>
        <v>0</v>
      </c>
      <c r="N18" s="88">
        <f>SUM(Table1[[#This Row],[Inter School sports 1]:[Inter School sports 50]])</f>
        <v>0</v>
      </c>
      <c r="O18" s="17">
        <f>COUNTIF(Table1[[#This Row],[Community club (type name of club(s). All clubs will count as ''1'']],"*")</f>
        <v>0</v>
      </c>
      <c r="P18" s="17">
        <f>IF(OR(Table1[[#This Row],[Total Challenges]]&gt;0,Table1[[#This Row],[Total Ex-C Clubs]]&gt;0,Table1[[#This Row],[Total Intra-School Sports]]&gt;0,Table1[[#This Row],[Total Inter-School Sports]]&gt;0,Table1[[#This Row],[Community Clubs]]&gt;0),1,0)</f>
        <v>0</v>
      </c>
      <c r="Q18" s="22"/>
      <c r="R18" s="22"/>
      <c r="S18" s="22"/>
      <c r="T18" s="22"/>
      <c r="U18" s="22"/>
      <c r="V18" s="22"/>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21"/>
    </row>
    <row r="19" spans="1:218" x14ac:dyDescent="0.25">
      <c r="A19" s="22"/>
      <c r="B19" s="22"/>
      <c r="C19" s="22"/>
      <c r="D19" s="22"/>
      <c r="E19" s="22"/>
      <c r="F19" s="22"/>
      <c r="G19" s="22"/>
      <c r="H19" s="22"/>
      <c r="I19" s="22"/>
      <c r="J19" s="22"/>
      <c r="K19" s="17">
        <f>SUM(Table1[[#This Row],[Challenge 1]:[Challenge 50]])</f>
        <v>0</v>
      </c>
      <c r="L19" s="88">
        <f>SUM(Table1[[#This Row],[Club 1]:[Club 50]])</f>
        <v>0</v>
      </c>
      <c r="M19" s="88">
        <f>SUM(Table1[[#This Row],[Intra-school sports 1]:[Intra-school sports 50]])</f>
        <v>0</v>
      </c>
      <c r="N19" s="88">
        <f>SUM(Table1[[#This Row],[Inter School sports 1]:[Inter School sports 50]])</f>
        <v>0</v>
      </c>
      <c r="O19" s="17">
        <f>COUNTIF(Table1[[#This Row],[Community club (type name of club(s). All clubs will count as ''1'']],"*")</f>
        <v>0</v>
      </c>
      <c r="P19" s="17">
        <f>IF(OR(Table1[[#This Row],[Total Challenges]]&gt;0,Table1[[#This Row],[Total Ex-C Clubs]]&gt;0,Table1[[#This Row],[Total Intra-School Sports]]&gt;0,Table1[[#This Row],[Total Inter-School Sports]]&gt;0,Table1[[#This Row],[Community Clubs]]&gt;0),1,0)</f>
        <v>0</v>
      </c>
      <c r="Q19" s="22"/>
      <c r="R19" s="22"/>
      <c r="S19" s="22"/>
      <c r="T19" s="22"/>
      <c r="U19" s="22"/>
      <c r="V19" s="22"/>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21"/>
    </row>
    <row r="20" spans="1:218" x14ac:dyDescent="0.25">
      <c r="A20" s="22"/>
      <c r="B20" s="22"/>
      <c r="C20" s="22"/>
      <c r="D20" s="22"/>
      <c r="E20" s="22"/>
      <c r="F20" s="22"/>
      <c r="G20" s="22"/>
      <c r="H20" s="22"/>
      <c r="I20" s="22"/>
      <c r="J20" s="22"/>
      <c r="K20" s="17">
        <f>SUM(Table1[[#This Row],[Challenge 1]:[Challenge 50]])</f>
        <v>0</v>
      </c>
      <c r="L20" s="88">
        <f>SUM(Table1[[#This Row],[Club 1]:[Club 50]])</f>
        <v>0</v>
      </c>
      <c r="M20" s="88">
        <f>SUM(Table1[[#This Row],[Intra-school sports 1]:[Intra-school sports 50]])</f>
        <v>0</v>
      </c>
      <c r="N20" s="88">
        <f>SUM(Table1[[#This Row],[Inter School sports 1]:[Inter School sports 50]])</f>
        <v>0</v>
      </c>
      <c r="O20" s="17">
        <f>COUNTIF(Table1[[#This Row],[Community club (type name of club(s). All clubs will count as ''1'']],"*")</f>
        <v>0</v>
      </c>
      <c r="P20" s="17">
        <f>IF(OR(Table1[[#This Row],[Total Challenges]]&gt;0,Table1[[#This Row],[Total Ex-C Clubs]]&gt;0,Table1[[#This Row],[Total Intra-School Sports]]&gt;0,Table1[[#This Row],[Total Inter-School Sports]]&gt;0,Table1[[#This Row],[Community Clubs]]&gt;0),1,0)</f>
        <v>0</v>
      </c>
      <c r="Q20" s="22"/>
      <c r="R20" s="22"/>
      <c r="S20" s="22"/>
      <c r="T20" s="22"/>
      <c r="U20" s="22"/>
      <c r="V20" s="22"/>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21"/>
    </row>
    <row r="21" spans="1:218" x14ac:dyDescent="0.25">
      <c r="A21" s="22"/>
      <c r="B21" s="22"/>
      <c r="C21" s="22"/>
      <c r="D21" s="22"/>
      <c r="E21" s="22"/>
      <c r="F21" s="22"/>
      <c r="G21" s="22"/>
      <c r="H21" s="22"/>
      <c r="I21" s="22"/>
      <c r="J21" s="22"/>
      <c r="K21" s="17">
        <f>SUM(Table1[[#This Row],[Challenge 1]:[Challenge 50]])</f>
        <v>0</v>
      </c>
      <c r="L21" s="88">
        <f>SUM(Table1[[#This Row],[Club 1]:[Club 50]])</f>
        <v>0</v>
      </c>
      <c r="M21" s="88">
        <f>SUM(Table1[[#This Row],[Intra-school sports 1]:[Intra-school sports 50]])</f>
        <v>0</v>
      </c>
      <c r="N21" s="88">
        <f>SUM(Table1[[#This Row],[Inter School sports 1]:[Inter School sports 50]])</f>
        <v>0</v>
      </c>
      <c r="O21" s="17">
        <f>COUNTIF(Table1[[#This Row],[Community club (type name of club(s). All clubs will count as ''1'']],"*")</f>
        <v>0</v>
      </c>
      <c r="P21" s="17">
        <f>IF(OR(Table1[[#This Row],[Total Challenges]]&gt;0,Table1[[#This Row],[Total Ex-C Clubs]]&gt;0,Table1[[#This Row],[Total Intra-School Sports]]&gt;0,Table1[[#This Row],[Total Inter-School Sports]]&gt;0,Table1[[#This Row],[Community Clubs]]&gt;0),1,0)</f>
        <v>0</v>
      </c>
      <c r="Q21" s="22"/>
      <c r="R21" s="22"/>
      <c r="S21" s="22"/>
      <c r="T21" s="22"/>
      <c r="U21" s="22"/>
      <c r="V21" s="22"/>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21"/>
    </row>
    <row r="22" spans="1:218" x14ac:dyDescent="0.25">
      <c r="A22" s="22"/>
      <c r="B22" s="22"/>
      <c r="C22" s="22"/>
      <c r="D22" s="22"/>
      <c r="E22" s="22"/>
      <c r="F22" s="22"/>
      <c r="G22" s="22"/>
      <c r="H22" s="22"/>
      <c r="I22" s="22"/>
      <c r="J22" s="22"/>
      <c r="K22" s="17">
        <f>SUM(Table1[[#This Row],[Challenge 1]:[Challenge 50]])</f>
        <v>0</v>
      </c>
      <c r="L22" s="88">
        <f>SUM(Table1[[#This Row],[Club 1]:[Club 50]])</f>
        <v>0</v>
      </c>
      <c r="M22" s="88">
        <f>SUM(Table1[[#This Row],[Intra-school sports 1]:[Intra-school sports 50]])</f>
        <v>0</v>
      </c>
      <c r="N22" s="88">
        <f>SUM(Table1[[#This Row],[Inter School sports 1]:[Inter School sports 50]])</f>
        <v>0</v>
      </c>
      <c r="O22" s="17">
        <f>COUNTIF(Table1[[#This Row],[Community club (type name of club(s). All clubs will count as ''1'']],"*")</f>
        <v>0</v>
      </c>
      <c r="P22" s="17">
        <f>IF(OR(Table1[[#This Row],[Total Challenges]]&gt;0,Table1[[#This Row],[Total Ex-C Clubs]]&gt;0,Table1[[#This Row],[Total Intra-School Sports]]&gt;0,Table1[[#This Row],[Total Inter-School Sports]]&gt;0,Table1[[#This Row],[Community Clubs]]&gt;0),1,0)</f>
        <v>0</v>
      </c>
      <c r="Q22" s="22"/>
      <c r="R22" s="22"/>
      <c r="S22" s="22"/>
      <c r="T22" s="22"/>
      <c r="U22" s="22"/>
      <c r="V22" s="22"/>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21"/>
    </row>
    <row r="23" spans="1:218" x14ac:dyDescent="0.25">
      <c r="A23" s="22"/>
      <c r="B23" s="22"/>
      <c r="C23" s="22"/>
      <c r="D23" s="22"/>
      <c r="E23" s="22"/>
      <c r="F23" s="22"/>
      <c r="G23" s="22"/>
      <c r="H23" s="22"/>
      <c r="I23" s="22"/>
      <c r="J23" s="22"/>
      <c r="K23" s="17">
        <f>SUM(Table1[[#This Row],[Challenge 1]:[Challenge 50]])</f>
        <v>0</v>
      </c>
      <c r="L23" s="88">
        <f>SUM(Table1[[#This Row],[Club 1]:[Club 50]])</f>
        <v>0</v>
      </c>
      <c r="M23" s="88">
        <f>SUM(Table1[[#This Row],[Intra-school sports 1]:[Intra-school sports 50]])</f>
        <v>0</v>
      </c>
      <c r="N23" s="88">
        <f>SUM(Table1[[#This Row],[Inter School sports 1]:[Inter School sports 50]])</f>
        <v>0</v>
      </c>
      <c r="O23" s="17">
        <f>COUNTIF(Table1[[#This Row],[Community club (type name of club(s). All clubs will count as ''1'']],"*")</f>
        <v>0</v>
      </c>
      <c r="P23" s="17">
        <f>IF(OR(Table1[[#This Row],[Total Challenges]]&gt;0,Table1[[#This Row],[Total Ex-C Clubs]]&gt;0,Table1[[#This Row],[Total Intra-School Sports]]&gt;0,Table1[[#This Row],[Total Inter-School Sports]]&gt;0,Table1[[#This Row],[Community Clubs]]&gt;0),1,0)</f>
        <v>0</v>
      </c>
      <c r="Q23" s="22"/>
      <c r="R23" s="22"/>
      <c r="S23" s="22"/>
      <c r="T23" s="22"/>
      <c r="U23" s="22"/>
      <c r="V23" s="22"/>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21"/>
    </row>
    <row r="24" spans="1:218" x14ac:dyDescent="0.25">
      <c r="A24" s="22"/>
      <c r="B24" s="22"/>
      <c r="C24" s="22"/>
      <c r="D24" s="22"/>
      <c r="E24" s="22"/>
      <c r="F24" s="22"/>
      <c r="G24" s="22"/>
      <c r="H24" s="22"/>
      <c r="I24" s="22"/>
      <c r="J24" s="22"/>
      <c r="K24" s="17">
        <f>SUM(Table1[[#This Row],[Challenge 1]:[Challenge 50]])</f>
        <v>0</v>
      </c>
      <c r="L24" s="88">
        <f>SUM(Table1[[#This Row],[Club 1]:[Club 50]])</f>
        <v>0</v>
      </c>
      <c r="M24" s="88">
        <f>SUM(Table1[[#This Row],[Intra-school sports 1]:[Intra-school sports 50]])</f>
        <v>0</v>
      </c>
      <c r="N24" s="88">
        <f>SUM(Table1[[#This Row],[Inter School sports 1]:[Inter School sports 50]])</f>
        <v>0</v>
      </c>
      <c r="O24" s="17">
        <f>COUNTIF(Table1[[#This Row],[Community club (type name of club(s). All clubs will count as ''1'']],"*")</f>
        <v>0</v>
      </c>
      <c r="P24" s="17">
        <f>IF(OR(Table1[[#This Row],[Total Challenges]]&gt;0,Table1[[#This Row],[Total Ex-C Clubs]]&gt;0,Table1[[#This Row],[Total Intra-School Sports]]&gt;0,Table1[[#This Row],[Total Inter-School Sports]]&gt;0,Table1[[#This Row],[Community Clubs]]&gt;0),1,0)</f>
        <v>0</v>
      </c>
      <c r="Q24" s="22"/>
      <c r="R24" s="22"/>
      <c r="S24" s="22"/>
      <c r="T24" s="22"/>
      <c r="U24" s="22"/>
      <c r="V24" s="22"/>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21"/>
    </row>
    <row r="25" spans="1:218" x14ac:dyDescent="0.25">
      <c r="A25" s="22"/>
      <c r="B25" s="22"/>
      <c r="C25" s="22"/>
      <c r="D25" s="22"/>
      <c r="E25" s="22"/>
      <c r="F25" s="22"/>
      <c r="G25" s="22"/>
      <c r="H25" s="22"/>
      <c r="I25" s="22"/>
      <c r="J25" s="22"/>
      <c r="K25" s="17">
        <f>SUM(Table1[[#This Row],[Challenge 1]:[Challenge 50]])</f>
        <v>0</v>
      </c>
      <c r="L25" s="88">
        <f>SUM(Table1[[#This Row],[Club 1]:[Club 50]])</f>
        <v>0</v>
      </c>
      <c r="M25" s="88">
        <f>SUM(Table1[[#This Row],[Intra-school sports 1]:[Intra-school sports 50]])</f>
        <v>0</v>
      </c>
      <c r="N25" s="88">
        <f>SUM(Table1[[#This Row],[Inter School sports 1]:[Inter School sports 50]])</f>
        <v>0</v>
      </c>
      <c r="O25" s="17">
        <f>COUNTIF(Table1[[#This Row],[Community club (type name of club(s). All clubs will count as ''1'']],"*")</f>
        <v>0</v>
      </c>
      <c r="P25" s="17">
        <f>IF(OR(Table1[[#This Row],[Total Challenges]]&gt;0,Table1[[#This Row],[Total Ex-C Clubs]]&gt;0,Table1[[#This Row],[Total Intra-School Sports]]&gt;0,Table1[[#This Row],[Total Inter-School Sports]]&gt;0,Table1[[#This Row],[Community Clubs]]&gt;0),1,0)</f>
        <v>0</v>
      </c>
      <c r="Q25" s="22"/>
      <c r="R25" s="22"/>
      <c r="S25" s="22"/>
      <c r="T25" s="22"/>
      <c r="U25" s="22"/>
      <c r="V25" s="22"/>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21"/>
    </row>
    <row r="26" spans="1:218" x14ac:dyDescent="0.25">
      <c r="A26" s="22"/>
      <c r="B26" s="22"/>
      <c r="C26" s="22"/>
      <c r="D26" s="22"/>
      <c r="E26" s="22"/>
      <c r="F26" s="22"/>
      <c r="G26" s="22"/>
      <c r="H26" s="22"/>
      <c r="I26" s="22"/>
      <c r="J26" s="22"/>
      <c r="K26" s="17">
        <f>SUM(Table1[[#This Row],[Challenge 1]:[Challenge 50]])</f>
        <v>0</v>
      </c>
      <c r="L26" s="88">
        <f>SUM(Table1[[#This Row],[Club 1]:[Club 50]])</f>
        <v>0</v>
      </c>
      <c r="M26" s="88">
        <f>SUM(Table1[[#This Row],[Intra-school sports 1]:[Intra-school sports 50]])</f>
        <v>0</v>
      </c>
      <c r="N26" s="88">
        <f>SUM(Table1[[#This Row],[Inter School sports 1]:[Inter School sports 50]])</f>
        <v>0</v>
      </c>
      <c r="O26" s="17">
        <f>COUNTIF(Table1[[#This Row],[Community club (type name of club(s). All clubs will count as ''1'']],"*")</f>
        <v>0</v>
      </c>
      <c r="P26" s="17">
        <f>IF(OR(Table1[[#This Row],[Total Challenges]]&gt;0,Table1[[#This Row],[Total Ex-C Clubs]]&gt;0,Table1[[#This Row],[Total Intra-School Sports]]&gt;0,Table1[[#This Row],[Total Inter-School Sports]]&gt;0,Table1[[#This Row],[Community Clubs]]&gt;0),1,0)</f>
        <v>0</v>
      </c>
      <c r="Q26" s="22"/>
      <c r="R26" s="22"/>
      <c r="S26" s="22"/>
      <c r="T26" s="22"/>
      <c r="U26" s="22"/>
      <c r="V26" s="22"/>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21"/>
    </row>
    <row r="27" spans="1:218" x14ac:dyDescent="0.25">
      <c r="A27" s="22"/>
      <c r="B27" s="22"/>
      <c r="C27" s="22"/>
      <c r="D27" s="22"/>
      <c r="E27" s="22"/>
      <c r="F27" s="22"/>
      <c r="G27" s="22"/>
      <c r="H27" s="22"/>
      <c r="I27" s="22"/>
      <c r="J27" s="22"/>
      <c r="K27" s="17">
        <f>SUM(Table1[[#This Row],[Challenge 1]:[Challenge 50]])</f>
        <v>0</v>
      </c>
      <c r="L27" s="88">
        <f>SUM(Table1[[#This Row],[Club 1]:[Club 50]])</f>
        <v>0</v>
      </c>
      <c r="M27" s="88">
        <f>SUM(Table1[[#This Row],[Intra-school sports 1]:[Intra-school sports 50]])</f>
        <v>0</v>
      </c>
      <c r="N27" s="88">
        <f>SUM(Table1[[#This Row],[Inter School sports 1]:[Inter School sports 50]])</f>
        <v>0</v>
      </c>
      <c r="O27" s="17">
        <f>COUNTIF(Table1[[#This Row],[Community club (type name of club(s). All clubs will count as ''1'']],"*")</f>
        <v>0</v>
      </c>
      <c r="P27" s="17">
        <f>IF(OR(Table1[[#This Row],[Total Challenges]]&gt;0,Table1[[#This Row],[Total Ex-C Clubs]]&gt;0,Table1[[#This Row],[Total Intra-School Sports]]&gt;0,Table1[[#This Row],[Total Inter-School Sports]]&gt;0,Table1[[#This Row],[Community Clubs]]&gt;0),1,0)</f>
        <v>0</v>
      </c>
      <c r="Q27" s="22"/>
      <c r="R27" s="22"/>
      <c r="S27" s="22"/>
      <c r="T27" s="22"/>
      <c r="U27" s="22"/>
      <c r="V27" s="22"/>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21"/>
    </row>
    <row r="28" spans="1:218" x14ac:dyDescent="0.25">
      <c r="A28" s="22"/>
      <c r="B28" s="22"/>
      <c r="C28" s="22"/>
      <c r="D28" s="22"/>
      <c r="E28" s="22"/>
      <c r="F28" s="22"/>
      <c r="G28" s="22"/>
      <c r="H28" s="22"/>
      <c r="I28" s="22"/>
      <c r="J28" s="22"/>
      <c r="K28" s="17">
        <f>SUM(Table1[[#This Row],[Challenge 1]:[Challenge 50]])</f>
        <v>0</v>
      </c>
      <c r="L28" s="88">
        <f>SUM(Table1[[#This Row],[Club 1]:[Club 50]])</f>
        <v>0</v>
      </c>
      <c r="M28" s="88">
        <f>SUM(Table1[[#This Row],[Intra-school sports 1]:[Intra-school sports 50]])</f>
        <v>0</v>
      </c>
      <c r="N28" s="88">
        <f>SUM(Table1[[#This Row],[Inter School sports 1]:[Inter School sports 50]])</f>
        <v>0</v>
      </c>
      <c r="O28" s="17">
        <f>COUNTIF(Table1[[#This Row],[Community club (type name of club(s). All clubs will count as ''1'']],"*")</f>
        <v>0</v>
      </c>
      <c r="P28" s="17">
        <f>IF(OR(Table1[[#This Row],[Total Challenges]]&gt;0,Table1[[#This Row],[Total Ex-C Clubs]]&gt;0,Table1[[#This Row],[Total Intra-School Sports]]&gt;0,Table1[[#This Row],[Total Inter-School Sports]]&gt;0,Table1[[#This Row],[Community Clubs]]&gt;0),1,0)</f>
        <v>0</v>
      </c>
      <c r="Q28" s="22"/>
      <c r="R28" s="22"/>
      <c r="S28" s="22"/>
      <c r="T28" s="22"/>
      <c r="U28" s="22"/>
      <c r="V28" s="22"/>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21"/>
    </row>
    <row r="29" spans="1:218" x14ac:dyDescent="0.25">
      <c r="A29" s="22"/>
      <c r="B29" s="22"/>
      <c r="C29" s="22"/>
      <c r="D29" s="22"/>
      <c r="E29" s="22"/>
      <c r="F29" s="22"/>
      <c r="G29" s="22"/>
      <c r="H29" s="22"/>
      <c r="I29" s="22"/>
      <c r="J29" s="22"/>
      <c r="K29" s="17">
        <f>SUM(Table1[[#This Row],[Challenge 1]:[Challenge 50]])</f>
        <v>0</v>
      </c>
      <c r="L29" s="88">
        <f>SUM(Table1[[#This Row],[Club 1]:[Club 50]])</f>
        <v>0</v>
      </c>
      <c r="M29" s="88">
        <f>SUM(Table1[[#This Row],[Intra-school sports 1]:[Intra-school sports 50]])</f>
        <v>0</v>
      </c>
      <c r="N29" s="88">
        <f>SUM(Table1[[#This Row],[Inter School sports 1]:[Inter School sports 50]])</f>
        <v>0</v>
      </c>
      <c r="O29" s="17">
        <f>COUNTIF(Table1[[#This Row],[Community club (type name of club(s). All clubs will count as ''1'']],"*")</f>
        <v>0</v>
      </c>
      <c r="P29" s="17">
        <f>IF(OR(Table1[[#This Row],[Total Challenges]]&gt;0,Table1[[#This Row],[Total Ex-C Clubs]]&gt;0,Table1[[#This Row],[Total Intra-School Sports]]&gt;0,Table1[[#This Row],[Total Inter-School Sports]]&gt;0,Table1[[#This Row],[Community Clubs]]&gt;0),1,0)</f>
        <v>0</v>
      </c>
      <c r="Q29" s="22"/>
      <c r="R29" s="22"/>
      <c r="S29" s="22"/>
      <c r="T29" s="22"/>
      <c r="U29" s="22"/>
      <c r="V29" s="22"/>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21"/>
    </row>
    <row r="30" spans="1:218" x14ac:dyDescent="0.25">
      <c r="A30" s="22"/>
      <c r="B30" s="22"/>
      <c r="C30" s="22"/>
      <c r="D30" s="22"/>
      <c r="E30" s="22"/>
      <c r="F30" s="22"/>
      <c r="G30" s="22"/>
      <c r="H30" s="22"/>
      <c r="I30" s="22"/>
      <c r="J30" s="22"/>
      <c r="K30" s="17">
        <f>SUM(Table1[[#This Row],[Challenge 1]:[Challenge 50]])</f>
        <v>0</v>
      </c>
      <c r="L30" s="88">
        <f>SUM(Table1[[#This Row],[Club 1]:[Club 50]])</f>
        <v>0</v>
      </c>
      <c r="M30" s="88">
        <f>SUM(Table1[[#This Row],[Intra-school sports 1]:[Intra-school sports 50]])</f>
        <v>0</v>
      </c>
      <c r="N30" s="88">
        <f>SUM(Table1[[#This Row],[Inter School sports 1]:[Inter School sports 50]])</f>
        <v>0</v>
      </c>
      <c r="O30" s="17">
        <f>COUNTIF(Table1[[#This Row],[Community club (type name of club(s). All clubs will count as ''1'']],"*")</f>
        <v>0</v>
      </c>
      <c r="P30" s="17">
        <f>IF(OR(Table1[[#This Row],[Total Challenges]]&gt;0,Table1[[#This Row],[Total Ex-C Clubs]]&gt;0,Table1[[#This Row],[Total Intra-School Sports]]&gt;0,Table1[[#This Row],[Total Inter-School Sports]]&gt;0,Table1[[#This Row],[Community Clubs]]&gt;0),1,0)</f>
        <v>0</v>
      </c>
      <c r="Q30" s="22"/>
      <c r="R30" s="22"/>
      <c r="S30" s="22"/>
      <c r="T30" s="22"/>
      <c r="U30" s="22"/>
      <c r="V30" s="22"/>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21"/>
    </row>
    <row r="31" spans="1:218" x14ac:dyDescent="0.25">
      <c r="A31" s="22"/>
      <c r="B31" s="22"/>
      <c r="C31" s="22"/>
      <c r="D31" s="22"/>
      <c r="E31" s="22"/>
      <c r="F31" s="22"/>
      <c r="G31" s="22"/>
      <c r="H31" s="22"/>
      <c r="I31" s="22"/>
      <c r="J31" s="22"/>
      <c r="K31" s="17">
        <f>SUM(Table1[[#This Row],[Challenge 1]:[Challenge 50]])</f>
        <v>0</v>
      </c>
      <c r="L31" s="88">
        <f>SUM(Table1[[#This Row],[Club 1]:[Club 50]])</f>
        <v>0</v>
      </c>
      <c r="M31" s="88">
        <f>SUM(Table1[[#This Row],[Intra-school sports 1]:[Intra-school sports 50]])</f>
        <v>0</v>
      </c>
      <c r="N31" s="88">
        <f>SUM(Table1[[#This Row],[Inter School sports 1]:[Inter School sports 50]])</f>
        <v>0</v>
      </c>
      <c r="O31" s="17">
        <f>COUNTIF(Table1[[#This Row],[Community club (type name of club(s). All clubs will count as ''1'']],"*")</f>
        <v>0</v>
      </c>
      <c r="P31" s="17">
        <f>IF(OR(Table1[[#This Row],[Total Challenges]]&gt;0,Table1[[#This Row],[Total Ex-C Clubs]]&gt;0,Table1[[#This Row],[Total Intra-School Sports]]&gt;0,Table1[[#This Row],[Total Inter-School Sports]]&gt;0,Table1[[#This Row],[Community Clubs]]&gt;0),1,0)</f>
        <v>0</v>
      </c>
      <c r="Q31" s="22"/>
      <c r="R31" s="22"/>
      <c r="S31" s="22"/>
      <c r="T31" s="22"/>
      <c r="U31" s="22"/>
      <c r="V31" s="22"/>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21"/>
    </row>
    <row r="32" spans="1:218" x14ac:dyDescent="0.25">
      <c r="A32" s="22"/>
      <c r="B32" s="22"/>
      <c r="C32" s="22"/>
      <c r="D32" s="22"/>
      <c r="E32" s="22"/>
      <c r="F32" s="22"/>
      <c r="G32" s="22"/>
      <c r="H32" s="22"/>
      <c r="I32" s="22"/>
      <c r="J32" s="22"/>
      <c r="K32" s="17">
        <f>SUM(Table1[[#This Row],[Challenge 1]:[Challenge 50]])</f>
        <v>0</v>
      </c>
      <c r="L32" s="88">
        <f>SUM(Table1[[#This Row],[Club 1]:[Club 50]])</f>
        <v>0</v>
      </c>
      <c r="M32" s="88">
        <f>SUM(Table1[[#This Row],[Intra-school sports 1]:[Intra-school sports 50]])</f>
        <v>0</v>
      </c>
      <c r="N32" s="88">
        <f>SUM(Table1[[#This Row],[Inter School sports 1]:[Inter School sports 50]])</f>
        <v>0</v>
      </c>
      <c r="O32" s="17">
        <f>COUNTIF(Table1[[#This Row],[Community club (type name of club(s). All clubs will count as ''1'']],"*")</f>
        <v>0</v>
      </c>
      <c r="P32" s="17">
        <f>IF(OR(Table1[[#This Row],[Total Challenges]]&gt;0,Table1[[#This Row],[Total Ex-C Clubs]]&gt;0,Table1[[#This Row],[Total Intra-School Sports]]&gt;0,Table1[[#This Row],[Total Inter-School Sports]]&gt;0,Table1[[#This Row],[Community Clubs]]&gt;0),1,0)</f>
        <v>0</v>
      </c>
      <c r="Q32" s="22"/>
      <c r="R32" s="22"/>
      <c r="S32" s="22"/>
      <c r="T32" s="22"/>
      <c r="U32" s="22"/>
      <c r="V32" s="22"/>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21"/>
    </row>
    <row r="33" spans="1:218" x14ac:dyDescent="0.25">
      <c r="A33" s="22"/>
      <c r="B33" s="22"/>
      <c r="C33" s="22"/>
      <c r="D33" s="22"/>
      <c r="E33" s="22"/>
      <c r="F33" s="22"/>
      <c r="G33" s="22"/>
      <c r="H33" s="22"/>
      <c r="I33" s="22"/>
      <c r="J33" s="22"/>
      <c r="K33" s="17">
        <f>SUM(Table1[[#This Row],[Challenge 1]:[Challenge 50]])</f>
        <v>0</v>
      </c>
      <c r="L33" s="88">
        <f>SUM(Table1[[#This Row],[Club 1]:[Club 50]])</f>
        <v>0</v>
      </c>
      <c r="M33" s="88">
        <f>SUM(Table1[[#This Row],[Intra-school sports 1]:[Intra-school sports 50]])</f>
        <v>0</v>
      </c>
      <c r="N33" s="88">
        <f>SUM(Table1[[#This Row],[Inter School sports 1]:[Inter School sports 50]])</f>
        <v>0</v>
      </c>
      <c r="O33" s="17">
        <f>COUNTIF(Table1[[#This Row],[Community club (type name of club(s). All clubs will count as ''1'']],"*")</f>
        <v>0</v>
      </c>
      <c r="P33" s="17">
        <f>IF(OR(Table1[[#This Row],[Total Challenges]]&gt;0,Table1[[#This Row],[Total Ex-C Clubs]]&gt;0,Table1[[#This Row],[Total Intra-School Sports]]&gt;0,Table1[[#This Row],[Total Inter-School Sports]]&gt;0,Table1[[#This Row],[Community Clubs]]&gt;0),1,0)</f>
        <v>0</v>
      </c>
      <c r="Q33" s="22"/>
      <c r="R33" s="22"/>
      <c r="S33" s="22"/>
      <c r="T33" s="22"/>
      <c r="U33" s="22"/>
      <c r="V33" s="22"/>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21"/>
    </row>
    <row r="34" spans="1:218" x14ac:dyDescent="0.25">
      <c r="A34" s="22"/>
      <c r="B34" s="22"/>
      <c r="C34" s="22"/>
      <c r="D34" s="22"/>
      <c r="E34" s="22"/>
      <c r="F34" s="22"/>
      <c r="G34" s="22"/>
      <c r="H34" s="22"/>
      <c r="I34" s="22"/>
      <c r="J34" s="22"/>
      <c r="K34" s="17">
        <f>SUM(Table1[[#This Row],[Challenge 1]:[Challenge 50]])</f>
        <v>0</v>
      </c>
      <c r="L34" s="88">
        <f>SUM(Table1[[#This Row],[Club 1]:[Club 50]])</f>
        <v>0</v>
      </c>
      <c r="M34" s="88">
        <f>SUM(Table1[[#This Row],[Intra-school sports 1]:[Intra-school sports 50]])</f>
        <v>0</v>
      </c>
      <c r="N34" s="88">
        <f>SUM(Table1[[#This Row],[Inter School sports 1]:[Inter School sports 50]])</f>
        <v>0</v>
      </c>
      <c r="O34" s="17">
        <f>COUNTIF(Table1[[#This Row],[Community club (type name of club(s). All clubs will count as ''1'']],"*")</f>
        <v>0</v>
      </c>
      <c r="P34" s="17">
        <f>IF(OR(Table1[[#This Row],[Total Challenges]]&gt;0,Table1[[#This Row],[Total Ex-C Clubs]]&gt;0,Table1[[#This Row],[Total Intra-School Sports]]&gt;0,Table1[[#This Row],[Total Inter-School Sports]]&gt;0,Table1[[#This Row],[Community Clubs]]&gt;0),1,0)</f>
        <v>0</v>
      </c>
      <c r="Q34" s="22"/>
      <c r="R34" s="22"/>
      <c r="S34" s="22"/>
      <c r="T34" s="22"/>
      <c r="U34" s="22"/>
      <c r="V34" s="22"/>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21"/>
    </row>
    <row r="35" spans="1:218" x14ac:dyDescent="0.25">
      <c r="A35" s="22"/>
      <c r="B35" s="22"/>
      <c r="C35" s="22"/>
      <c r="D35" s="22"/>
      <c r="E35" s="22"/>
      <c r="F35" s="22"/>
      <c r="G35" s="22"/>
      <c r="H35" s="22"/>
      <c r="I35" s="22"/>
      <c r="J35" s="22"/>
      <c r="K35" s="17">
        <f>SUM(Table1[[#This Row],[Challenge 1]:[Challenge 50]])</f>
        <v>0</v>
      </c>
      <c r="L35" s="88">
        <f>SUM(Table1[[#This Row],[Club 1]:[Club 50]])</f>
        <v>0</v>
      </c>
      <c r="M35" s="88">
        <f>SUM(Table1[[#This Row],[Intra-school sports 1]:[Intra-school sports 50]])</f>
        <v>0</v>
      </c>
      <c r="N35" s="88">
        <f>SUM(Table1[[#This Row],[Inter School sports 1]:[Inter School sports 50]])</f>
        <v>0</v>
      </c>
      <c r="O35" s="17">
        <f>COUNTIF(Table1[[#This Row],[Community club (type name of club(s). All clubs will count as ''1'']],"*")</f>
        <v>0</v>
      </c>
      <c r="P35" s="17">
        <f>IF(OR(Table1[[#This Row],[Total Challenges]]&gt;0,Table1[[#This Row],[Total Ex-C Clubs]]&gt;0,Table1[[#This Row],[Total Intra-School Sports]]&gt;0,Table1[[#This Row],[Total Inter-School Sports]]&gt;0,Table1[[#This Row],[Community Clubs]]&gt;0),1,0)</f>
        <v>0</v>
      </c>
      <c r="Q35" s="22"/>
      <c r="R35" s="22"/>
      <c r="S35" s="22"/>
      <c r="T35" s="22"/>
      <c r="U35" s="22"/>
      <c r="V35" s="22"/>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21"/>
    </row>
    <row r="36" spans="1:218" x14ac:dyDescent="0.25">
      <c r="A36" s="22"/>
      <c r="B36" s="22"/>
      <c r="C36" s="22"/>
      <c r="D36" s="22"/>
      <c r="E36" s="22"/>
      <c r="F36" s="22"/>
      <c r="G36" s="22"/>
      <c r="H36" s="22"/>
      <c r="I36" s="22"/>
      <c r="J36" s="22"/>
      <c r="K36" s="17">
        <f>SUM(Table1[[#This Row],[Challenge 1]:[Challenge 50]])</f>
        <v>0</v>
      </c>
      <c r="L36" s="88">
        <f>SUM(Table1[[#This Row],[Club 1]:[Club 50]])</f>
        <v>0</v>
      </c>
      <c r="M36" s="88">
        <f>SUM(Table1[[#This Row],[Intra-school sports 1]:[Intra-school sports 50]])</f>
        <v>0</v>
      </c>
      <c r="N36" s="88">
        <f>SUM(Table1[[#This Row],[Inter School sports 1]:[Inter School sports 50]])</f>
        <v>0</v>
      </c>
      <c r="O36" s="17">
        <f>COUNTIF(Table1[[#This Row],[Community club (type name of club(s). All clubs will count as ''1'']],"*")</f>
        <v>0</v>
      </c>
      <c r="P36" s="17">
        <f>IF(OR(Table1[[#This Row],[Total Challenges]]&gt;0,Table1[[#This Row],[Total Ex-C Clubs]]&gt;0,Table1[[#This Row],[Total Intra-School Sports]]&gt;0,Table1[[#This Row],[Total Inter-School Sports]]&gt;0,Table1[[#This Row],[Community Clubs]]&gt;0),1,0)</f>
        <v>0</v>
      </c>
      <c r="Q36" s="22"/>
      <c r="R36" s="22"/>
      <c r="S36" s="22"/>
      <c r="T36" s="22"/>
      <c r="U36" s="22"/>
      <c r="V36" s="22"/>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21"/>
    </row>
    <row r="37" spans="1:218" x14ac:dyDescent="0.25">
      <c r="A37" s="22"/>
      <c r="B37" s="22"/>
      <c r="C37" s="22"/>
      <c r="D37" s="22"/>
      <c r="E37" s="22"/>
      <c r="F37" s="22"/>
      <c r="G37" s="22"/>
      <c r="H37" s="22"/>
      <c r="I37" s="22"/>
      <c r="J37" s="22"/>
      <c r="K37" s="17">
        <f>SUM(Table1[[#This Row],[Challenge 1]:[Challenge 50]])</f>
        <v>0</v>
      </c>
      <c r="L37" s="88">
        <f>SUM(Table1[[#This Row],[Club 1]:[Club 50]])</f>
        <v>0</v>
      </c>
      <c r="M37" s="88">
        <f>SUM(Table1[[#This Row],[Intra-school sports 1]:[Intra-school sports 50]])</f>
        <v>0</v>
      </c>
      <c r="N37" s="88">
        <f>SUM(Table1[[#This Row],[Inter School sports 1]:[Inter School sports 50]])</f>
        <v>0</v>
      </c>
      <c r="O37" s="17">
        <f>COUNTIF(Table1[[#This Row],[Community club (type name of club(s). All clubs will count as ''1'']],"*")</f>
        <v>0</v>
      </c>
      <c r="P37" s="17">
        <f>IF(OR(Table1[[#This Row],[Total Challenges]]&gt;0,Table1[[#This Row],[Total Ex-C Clubs]]&gt;0,Table1[[#This Row],[Total Intra-School Sports]]&gt;0,Table1[[#This Row],[Total Inter-School Sports]]&gt;0,Table1[[#This Row],[Community Clubs]]&gt;0),1,0)</f>
        <v>0</v>
      </c>
      <c r="Q37" s="22"/>
      <c r="R37" s="22"/>
      <c r="S37" s="22"/>
      <c r="T37" s="22"/>
      <c r="U37" s="22"/>
      <c r="V37" s="22"/>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21"/>
    </row>
    <row r="38" spans="1:218" x14ac:dyDescent="0.25">
      <c r="A38" s="22"/>
      <c r="B38" s="22"/>
      <c r="C38" s="22"/>
      <c r="D38" s="22"/>
      <c r="E38" s="22"/>
      <c r="F38" s="22"/>
      <c r="G38" s="22"/>
      <c r="H38" s="22"/>
      <c r="I38" s="22"/>
      <c r="J38" s="22"/>
      <c r="K38" s="17">
        <f>SUM(Table1[[#This Row],[Challenge 1]:[Challenge 50]])</f>
        <v>0</v>
      </c>
      <c r="L38" s="88">
        <f>SUM(Table1[[#This Row],[Club 1]:[Club 50]])</f>
        <v>0</v>
      </c>
      <c r="M38" s="88">
        <f>SUM(Table1[[#This Row],[Intra-school sports 1]:[Intra-school sports 50]])</f>
        <v>0</v>
      </c>
      <c r="N38" s="88">
        <f>SUM(Table1[[#This Row],[Inter School sports 1]:[Inter School sports 50]])</f>
        <v>0</v>
      </c>
      <c r="O38" s="17">
        <f>COUNTIF(Table1[[#This Row],[Community club (type name of club(s). All clubs will count as ''1'']],"*")</f>
        <v>0</v>
      </c>
      <c r="P38" s="17">
        <f>IF(OR(Table1[[#This Row],[Total Challenges]]&gt;0,Table1[[#This Row],[Total Ex-C Clubs]]&gt;0,Table1[[#This Row],[Total Intra-School Sports]]&gt;0,Table1[[#This Row],[Total Inter-School Sports]]&gt;0,Table1[[#This Row],[Community Clubs]]&gt;0),1,0)</f>
        <v>0</v>
      </c>
      <c r="Q38" s="22"/>
      <c r="R38" s="22"/>
      <c r="S38" s="22"/>
      <c r="T38" s="22"/>
      <c r="U38" s="22"/>
      <c r="V38" s="22"/>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21"/>
    </row>
    <row r="39" spans="1:218" x14ac:dyDescent="0.25">
      <c r="A39" s="22"/>
      <c r="B39" s="22"/>
      <c r="C39" s="22"/>
      <c r="D39" s="22"/>
      <c r="E39" s="22"/>
      <c r="F39" s="22"/>
      <c r="G39" s="22"/>
      <c r="H39" s="22"/>
      <c r="I39" s="22"/>
      <c r="J39" s="22"/>
      <c r="K39" s="17">
        <f>SUM(Table1[[#This Row],[Challenge 1]:[Challenge 50]])</f>
        <v>0</v>
      </c>
      <c r="L39" s="88">
        <f>SUM(Table1[[#This Row],[Club 1]:[Club 50]])</f>
        <v>0</v>
      </c>
      <c r="M39" s="88">
        <f>SUM(Table1[[#This Row],[Intra-school sports 1]:[Intra-school sports 50]])</f>
        <v>0</v>
      </c>
      <c r="N39" s="88">
        <f>SUM(Table1[[#This Row],[Inter School sports 1]:[Inter School sports 50]])</f>
        <v>0</v>
      </c>
      <c r="O39" s="17">
        <f>COUNTIF(Table1[[#This Row],[Community club (type name of club(s). All clubs will count as ''1'']],"*")</f>
        <v>0</v>
      </c>
      <c r="P39" s="17">
        <f>IF(OR(Table1[[#This Row],[Total Challenges]]&gt;0,Table1[[#This Row],[Total Ex-C Clubs]]&gt;0,Table1[[#This Row],[Total Intra-School Sports]]&gt;0,Table1[[#This Row],[Total Inter-School Sports]]&gt;0,Table1[[#This Row],[Community Clubs]]&gt;0),1,0)</f>
        <v>0</v>
      </c>
      <c r="Q39" s="22"/>
      <c r="R39" s="22"/>
      <c r="S39" s="22"/>
      <c r="T39" s="22"/>
      <c r="U39" s="22"/>
      <c r="V39" s="22"/>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21"/>
    </row>
    <row r="40" spans="1:218" x14ac:dyDescent="0.25">
      <c r="A40" s="22"/>
      <c r="B40" s="22"/>
      <c r="C40" s="22"/>
      <c r="D40" s="22"/>
      <c r="E40" s="22"/>
      <c r="F40" s="22"/>
      <c r="G40" s="22"/>
      <c r="H40" s="22"/>
      <c r="I40" s="22"/>
      <c r="J40" s="22"/>
      <c r="K40" s="17">
        <f>SUM(Table1[[#This Row],[Challenge 1]:[Challenge 50]])</f>
        <v>0</v>
      </c>
      <c r="L40" s="88">
        <f>SUM(Table1[[#This Row],[Club 1]:[Club 50]])</f>
        <v>0</v>
      </c>
      <c r="M40" s="88">
        <f>SUM(Table1[[#This Row],[Intra-school sports 1]:[Intra-school sports 50]])</f>
        <v>0</v>
      </c>
      <c r="N40" s="88">
        <f>SUM(Table1[[#This Row],[Inter School sports 1]:[Inter School sports 50]])</f>
        <v>0</v>
      </c>
      <c r="O40" s="17">
        <f>COUNTIF(Table1[[#This Row],[Community club (type name of club(s). All clubs will count as ''1'']],"*")</f>
        <v>0</v>
      </c>
      <c r="P40" s="17">
        <f>IF(OR(Table1[[#This Row],[Total Challenges]]&gt;0,Table1[[#This Row],[Total Ex-C Clubs]]&gt;0,Table1[[#This Row],[Total Intra-School Sports]]&gt;0,Table1[[#This Row],[Total Inter-School Sports]]&gt;0,Table1[[#This Row],[Community Clubs]]&gt;0),1,0)</f>
        <v>0</v>
      </c>
      <c r="Q40" s="22"/>
      <c r="R40" s="22"/>
      <c r="S40" s="22"/>
      <c r="T40" s="22"/>
      <c r="U40" s="22"/>
      <c r="V40" s="22"/>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21"/>
    </row>
    <row r="41" spans="1:218" x14ac:dyDescent="0.25">
      <c r="A41" s="22"/>
      <c r="B41" s="22"/>
      <c r="C41" s="22"/>
      <c r="D41" s="22"/>
      <c r="E41" s="22"/>
      <c r="F41" s="22"/>
      <c r="G41" s="22"/>
      <c r="H41" s="22"/>
      <c r="I41" s="22"/>
      <c r="J41" s="22"/>
      <c r="K41" s="17">
        <f>SUM(Table1[[#This Row],[Challenge 1]:[Challenge 50]])</f>
        <v>0</v>
      </c>
      <c r="L41" s="88">
        <f>SUM(Table1[[#This Row],[Club 1]:[Club 50]])</f>
        <v>0</v>
      </c>
      <c r="M41" s="88">
        <f>SUM(Table1[[#This Row],[Intra-school sports 1]:[Intra-school sports 50]])</f>
        <v>0</v>
      </c>
      <c r="N41" s="88">
        <f>SUM(Table1[[#This Row],[Inter School sports 1]:[Inter School sports 50]])</f>
        <v>0</v>
      </c>
      <c r="O41" s="17">
        <f>COUNTIF(Table1[[#This Row],[Community club (type name of club(s). All clubs will count as ''1'']],"*")</f>
        <v>0</v>
      </c>
      <c r="P41" s="17">
        <f>IF(OR(Table1[[#This Row],[Total Challenges]]&gt;0,Table1[[#This Row],[Total Ex-C Clubs]]&gt;0,Table1[[#This Row],[Total Intra-School Sports]]&gt;0,Table1[[#This Row],[Total Inter-School Sports]]&gt;0,Table1[[#This Row],[Community Clubs]]&gt;0),1,0)</f>
        <v>0</v>
      </c>
      <c r="Q41" s="22"/>
      <c r="R41" s="22"/>
      <c r="S41" s="22"/>
      <c r="T41" s="22"/>
      <c r="U41" s="22"/>
      <c r="V41" s="22"/>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21"/>
    </row>
    <row r="42" spans="1:218" x14ac:dyDescent="0.25">
      <c r="A42" s="22"/>
      <c r="B42" s="22"/>
      <c r="C42" s="22"/>
      <c r="D42" s="22"/>
      <c r="E42" s="22"/>
      <c r="F42" s="22"/>
      <c r="G42" s="22"/>
      <c r="H42" s="22"/>
      <c r="I42" s="22"/>
      <c r="J42" s="22"/>
      <c r="K42" s="17">
        <f>SUM(Table1[[#This Row],[Challenge 1]:[Challenge 50]])</f>
        <v>0</v>
      </c>
      <c r="L42" s="88">
        <f>SUM(Table1[[#This Row],[Club 1]:[Club 50]])</f>
        <v>0</v>
      </c>
      <c r="M42" s="88">
        <f>SUM(Table1[[#This Row],[Intra-school sports 1]:[Intra-school sports 50]])</f>
        <v>0</v>
      </c>
      <c r="N42" s="88">
        <f>SUM(Table1[[#This Row],[Inter School sports 1]:[Inter School sports 50]])</f>
        <v>0</v>
      </c>
      <c r="O42" s="17">
        <f>COUNTIF(Table1[[#This Row],[Community club (type name of club(s). All clubs will count as ''1'']],"*")</f>
        <v>0</v>
      </c>
      <c r="P42" s="17">
        <f>IF(OR(Table1[[#This Row],[Total Challenges]]&gt;0,Table1[[#This Row],[Total Ex-C Clubs]]&gt;0,Table1[[#This Row],[Total Intra-School Sports]]&gt;0,Table1[[#This Row],[Total Inter-School Sports]]&gt;0,Table1[[#This Row],[Community Clubs]]&gt;0),1,0)</f>
        <v>0</v>
      </c>
      <c r="Q42" s="22"/>
      <c r="R42" s="22"/>
      <c r="S42" s="22"/>
      <c r="T42" s="22"/>
      <c r="U42" s="22"/>
      <c r="V42" s="22"/>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21"/>
    </row>
    <row r="43" spans="1:218" x14ac:dyDescent="0.25">
      <c r="A43" s="22"/>
      <c r="B43" s="22"/>
      <c r="C43" s="22"/>
      <c r="D43" s="22"/>
      <c r="E43" s="22"/>
      <c r="F43" s="22"/>
      <c r="G43" s="22"/>
      <c r="H43" s="22"/>
      <c r="I43" s="22"/>
      <c r="J43" s="22"/>
      <c r="K43" s="17">
        <f>SUM(Table1[[#This Row],[Challenge 1]:[Challenge 50]])</f>
        <v>0</v>
      </c>
      <c r="L43" s="88">
        <f>SUM(Table1[[#This Row],[Club 1]:[Club 50]])</f>
        <v>0</v>
      </c>
      <c r="M43" s="88">
        <f>SUM(Table1[[#This Row],[Intra-school sports 1]:[Intra-school sports 50]])</f>
        <v>0</v>
      </c>
      <c r="N43" s="88">
        <f>SUM(Table1[[#This Row],[Inter School sports 1]:[Inter School sports 50]])</f>
        <v>0</v>
      </c>
      <c r="O43" s="17">
        <f>COUNTIF(Table1[[#This Row],[Community club (type name of club(s). All clubs will count as ''1'']],"*")</f>
        <v>0</v>
      </c>
      <c r="P43" s="17">
        <f>IF(OR(Table1[[#This Row],[Total Challenges]]&gt;0,Table1[[#This Row],[Total Ex-C Clubs]]&gt;0,Table1[[#This Row],[Total Intra-School Sports]]&gt;0,Table1[[#This Row],[Total Inter-School Sports]]&gt;0,Table1[[#This Row],[Community Clubs]]&gt;0),1,0)</f>
        <v>0</v>
      </c>
      <c r="Q43" s="22"/>
      <c r="R43" s="22"/>
      <c r="S43" s="22"/>
      <c r="T43" s="22"/>
      <c r="U43" s="22"/>
      <c r="V43" s="22"/>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21"/>
    </row>
    <row r="44" spans="1:218" x14ac:dyDescent="0.25">
      <c r="A44" s="22"/>
      <c r="B44" s="22"/>
      <c r="C44" s="22"/>
      <c r="D44" s="22"/>
      <c r="E44" s="22"/>
      <c r="F44" s="22"/>
      <c r="G44" s="22"/>
      <c r="H44" s="22"/>
      <c r="I44" s="22"/>
      <c r="J44" s="22"/>
      <c r="K44" s="17">
        <f>SUM(Table1[[#This Row],[Challenge 1]:[Challenge 50]])</f>
        <v>0</v>
      </c>
      <c r="L44" s="88">
        <f>SUM(Table1[[#This Row],[Club 1]:[Club 50]])</f>
        <v>0</v>
      </c>
      <c r="M44" s="88">
        <f>SUM(Table1[[#This Row],[Intra-school sports 1]:[Intra-school sports 50]])</f>
        <v>0</v>
      </c>
      <c r="N44" s="88">
        <f>SUM(Table1[[#This Row],[Inter School sports 1]:[Inter School sports 50]])</f>
        <v>0</v>
      </c>
      <c r="O44" s="17">
        <f>COUNTIF(Table1[[#This Row],[Community club (type name of club(s). All clubs will count as ''1'']],"*")</f>
        <v>0</v>
      </c>
      <c r="P44" s="17">
        <f>IF(OR(Table1[[#This Row],[Total Challenges]]&gt;0,Table1[[#This Row],[Total Ex-C Clubs]]&gt;0,Table1[[#This Row],[Total Intra-School Sports]]&gt;0,Table1[[#This Row],[Total Inter-School Sports]]&gt;0,Table1[[#This Row],[Community Clubs]]&gt;0),1,0)</f>
        <v>0</v>
      </c>
      <c r="Q44" s="22"/>
      <c r="R44" s="22"/>
      <c r="S44" s="22"/>
      <c r="T44" s="22"/>
      <c r="U44" s="22"/>
      <c r="V44" s="22"/>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21"/>
    </row>
    <row r="45" spans="1:218" x14ac:dyDescent="0.25">
      <c r="A45" s="22"/>
      <c r="B45" s="22"/>
      <c r="C45" s="22"/>
      <c r="D45" s="22"/>
      <c r="E45" s="22"/>
      <c r="F45" s="22"/>
      <c r="G45" s="22"/>
      <c r="H45" s="22"/>
      <c r="I45" s="22"/>
      <c r="J45" s="22"/>
      <c r="K45" s="17">
        <f>SUM(Table1[[#This Row],[Challenge 1]:[Challenge 50]])</f>
        <v>0</v>
      </c>
      <c r="L45" s="88">
        <f>SUM(Table1[[#This Row],[Club 1]:[Club 50]])</f>
        <v>0</v>
      </c>
      <c r="M45" s="88">
        <f>SUM(Table1[[#This Row],[Intra-school sports 1]:[Intra-school sports 50]])</f>
        <v>0</v>
      </c>
      <c r="N45" s="88">
        <f>SUM(Table1[[#This Row],[Inter School sports 1]:[Inter School sports 50]])</f>
        <v>0</v>
      </c>
      <c r="O45" s="17">
        <f>COUNTIF(Table1[[#This Row],[Community club (type name of club(s). All clubs will count as ''1'']],"*")</f>
        <v>0</v>
      </c>
      <c r="P45" s="17">
        <f>IF(OR(Table1[[#This Row],[Total Challenges]]&gt;0,Table1[[#This Row],[Total Ex-C Clubs]]&gt;0,Table1[[#This Row],[Total Intra-School Sports]]&gt;0,Table1[[#This Row],[Total Inter-School Sports]]&gt;0,Table1[[#This Row],[Community Clubs]]&gt;0),1,0)</f>
        <v>0</v>
      </c>
      <c r="Q45" s="22"/>
      <c r="R45" s="22"/>
      <c r="S45" s="22"/>
      <c r="T45" s="22"/>
      <c r="U45" s="22"/>
      <c r="V45" s="22"/>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21"/>
    </row>
    <row r="46" spans="1:218" x14ac:dyDescent="0.25">
      <c r="A46" s="22"/>
      <c r="B46" s="22"/>
      <c r="C46" s="22"/>
      <c r="D46" s="22"/>
      <c r="E46" s="22"/>
      <c r="F46" s="22"/>
      <c r="G46" s="22"/>
      <c r="H46" s="22"/>
      <c r="I46" s="22"/>
      <c r="J46" s="22"/>
      <c r="K46" s="17">
        <f>SUM(Table1[[#This Row],[Challenge 1]:[Challenge 50]])</f>
        <v>0</v>
      </c>
      <c r="L46" s="88">
        <f>SUM(Table1[[#This Row],[Club 1]:[Club 50]])</f>
        <v>0</v>
      </c>
      <c r="M46" s="88">
        <f>SUM(Table1[[#This Row],[Intra-school sports 1]:[Intra-school sports 50]])</f>
        <v>0</v>
      </c>
      <c r="N46" s="88">
        <f>SUM(Table1[[#This Row],[Inter School sports 1]:[Inter School sports 50]])</f>
        <v>0</v>
      </c>
      <c r="O46" s="17">
        <f>COUNTIF(Table1[[#This Row],[Community club (type name of club(s). All clubs will count as ''1'']],"*")</f>
        <v>0</v>
      </c>
      <c r="P46" s="17">
        <f>IF(OR(Table1[[#This Row],[Total Challenges]]&gt;0,Table1[[#This Row],[Total Ex-C Clubs]]&gt;0,Table1[[#This Row],[Total Intra-School Sports]]&gt;0,Table1[[#This Row],[Total Inter-School Sports]]&gt;0,Table1[[#This Row],[Community Clubs]]&gt;0),1,0)</f>
        <v>0</v>
      </c>
      <c r="Q46" s="22"/>
      <c r="R46" s="22"/>
      <c r="S46" s="22"/>
      <c r="T46" s="22"/>
      <c r="U46" s="22"/>
      <c r="V46" s="22"/>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21"/>
    </row>
    <row r="47" spans="1:218" x14ac:dyDescent="0.25">
      <c r="A47" s="22"/>
      <c r="B47" s="22"/>
      <c r="C47" s="22"/>
      <c r="D47" s="22"/>
      <c r="E47" s="22"/>
      <c r="F47" s="22"/>
      <c r="G47" s="22"/>
      <c r="H47" s="22"/>
      <c r="I47" s="22"/>
      <c r="J47" s="22"/>
      <c r="K47" s="17">
        <f>SUM(Table1[[#This Row],[Challenge 1]:[Challenge 50]])</f>
        <v>0</v>
      </c>
      <c r="L47" s="88">
        <f>SUM(Table1[[#This Row],[Club 1]:[Club 50]])</f>
        <v>0</v>
      </c>
      <c r="M47" s="88">
        <f>SUM(Table1[[#This Row],[Intra-school sports 1]:[Intra-school sports 50]])</f>
        <v>0</v>
      </c>
      <c r="N47" s="88">
        <f>SUM(Table1[[#This Row],[Inter School sports 1]:[Inter School sports 50]])</f>
        <v>0</v>
      </c>
      <c r="O47" s="17">
        <f>COUNTIF(Table1[[#This Row],[Community club (type name of club(s). All clubs will count as ''1'']],"*")</f>
        <v>0</v>
      </c>
      <c r="P47" s="17">
        <f>IF(OR(Table1[[#This Row],[Total Challenges]]&gt;0,Table1[[#This Row],[Total Ex-C Clubs]]&gt;0,Table1[[#This Row],[Total Intra-School Sports]]&gt;0,Table1[[#This Row],[Total Inter-School Sports]]&gt;0,Table1[[#This Row],[Community Clubs]]&gt;0),1,0)</f>
        <v>0</v>
      </c>
      <c r="Q47" s="22"/>
      <c r="R47" s="22"/>
      <c r="S47" s="22"/>
      <c r="T47" s="22"/>
      <c r="U47" s="22"/>
      <c r="V47" s="22"/>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21"/>
    </row>
    <row r="48" spans="1:218" x14ac:dyDescent="0.25">
      <c r="A48" s="22"/>
      <c r="B48" s="22"/>
      <c r="C48" s="22"/>
      <c r="D48" s="22"/>
      <c r="E48" s="22"/>
      <c r="F48" s="22"/>
      <c r="G48" s="22"/>
      <c r="H48" s="22"/>
      <c r="I48" s="22"/>
      <c r="J48" s="22"/>
      <c r="K48" s="17">
        <f>SUM(Table1[[#This Row],[Challenge 1]:[Challenge 50]])</f>
        <v>0</v>
      </c>
      <c r="L48" s="88">
        <f>SUM(Table1[[#This Row],[Club 1]:[Club 50]])</f>
        <v>0</v>
      </c>
      <c r="M48" s="88">
        <f>SUM(Table1[[#This Row],[Intra-school sports 1]:[Intra-school sports 50]])</f>
        <v>0</v>
      </c>
      <c r="N48" s="88">
        <f>SUM(Table1[[#This Row],[Inter School sports 1]:[Inter School sports 50]])</f>
        <v>0</v>
      </c>
      <c r="O48" s="17">
        <f>COUNTIF(Table1[[#This Row],[Community club (type name of club(s). All clubs will count as ''1'']],"*")</f>
        <v>0</v>
      </c>
      <c r="P48" s="17">
        <f>IF(OR(Table1[[#This Row],[Total Challenges]]&gt;0,Table1[[#This Row],[Total Ex-C Clubs]]&gt;0,Table1[[#This Row],[Total Intra-School Sports]]&gt;0,Table1[[#This Row],[Total Inter-School Sports]]&gt;0,Table1[[#This Row],[Community Clubs]]&gt;0),1,0)</f>
        <v>0</v>
      </c>
      <c r="Q48" s="22"/>
      <c r="R48" s="22"/>
      <c r="S48" s="22"/>
      <c r="T48" s="22"/>
      <c r="U48" s="22"/>
      <c r="V48" s="22"/>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21"/>
    </row>
    <row r="49" spans="1:218" x14ac:dyDescent="0.25">
      <c r="A49" s="22"/>
      <c r="B49" s="22"/>
      <c r="C49" s="22"/>
      <c r="D49" s="22"/>
      <c r="E49" s="22"/>
      <c r="F49" s="22"/>
      <c r="G49" s="22"/>
      <c r="H49" s="22"/>
      <c r="I49" s="22"/>
      <c r="J49" s="22"/>
      <c r="K49" s="17">
        <f>SUM(Table1[[#This Row],[Challenge 1]:[Challenge 50]])</f>
        <v>0</v>
      </c>
      <c r="L49" s="88">
        <f>SUM(Table1[[#This Row],[Club 1]:[Club 50]])</f>
        <v>0</v>
      </c>
      <c r="M49" s="88">
        <f>SUM(Table1[[#This Row],[Intra-school sports 1]:[Intra-school sports 50]])</f>
        <v>0</v>
      </c>
      <c r="N49" s="88">
        <f>SUM(Table1[[#This Row],[Inter School sports 1]:[Inter School sports 50]])</f>
        <v>0</v>
      </c>
      <c r="O49" s="17">
        <f>COUNTIF(Table1[[#This Row],[Community club (type name of club(s). All clubs will count as ''1'']],"*")</f>
        <v>0</v>
      </c>
      <c r="P49" s="17">
        <f>IF(OR(Table1[[#This Row],[Total Challenges]]&gt;0,Table1[[#This Row],[Total Ex-C Clubs]]&gt;0,Table1[[#This Row],[Total Intra-School Sports]]&gt;0,Table1[[#This Row],[Total Inter-School Sports]]&gt;0,Table1[[#This Row],[Community Clubs]]&gt;0),1,0)</f>
        <v>0</v>
      </c>
      <c r="Q49" s="22"/>
      <c r="R49" s="22"/>
      <c r="S49" s="22"/>
      <c r="T49" s="22"/>
      <c r="U49" s="22"/>
      <c r="V49" s="22"/>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21"/>
    </row>
    <row r="50" spans="1:218" x14ac:dyDescent="0.25">
      <c r="A50" s="22"/>
      <c r="B50" s="22"/>
      <c r="C50" s="22"/>
      <c r="D50" s="22"/>
      <c r="E50" s="22"/>
      <c r="F50" s="22"/>
      <c r="G50" s="22"/>
      <c r="H50" s="22"/>
      <c r="I50" s="22"/>
      <c r="J50" s="22"/>
      <c r="K50" s="17">
        <f>SUM(Table1[[#This Row],[Challenge 1]:[Challenge 50]])</f>
        <v>0</v>
      </c>
      <c r="L50" s="88">
        <f>SUM(Table1[[#This Row],[Club 1]:[Club 50]])</f>
        <v>0</v>
      </c>
      <c r="M50" s="88">
        <f>SUM(Table1[[#This Row],[Intra-school sports 1]:[Intra-school sports 50]])</f>
        <v>0</v>
      </c>
      <c r="N50" s="88">
        <f>SUM(Table1[[#This Row],[Inter School sports 1]:[Inter School sports 50]])</f>
        <v>0</v>
      </c>
      <c r="O50" s="17">
        <f>COUNTIF(Table1[[#This Row],[Community club (type name of club(s). All clubs will count as ''1'']],"*")</f>
        <v>0</v>
      </c>
      <c r="P50" s="17">
        <f>IF(OR(Table1[[#This Row],[Total Challenges]]&gt;0,Table1[[#This Row],[Total Ex-C Clubs]]&gt;0,Table1[[#This Row],[Total Intra-School Sports]]&gt;0,Table1[[#This Row],[Total Inter-School Sports]]&gt;0,Table1[[#This Row],[Community Clubs]]&gt;0),1,0)</f>
        <v>0</v>
      </c>
      <c r="Q50" s="22"/>
      <c r="R50" s="22"/>
      <c r="S50" s="22"/>
      <c r="T50" s="22"/>
      <c r="U50" s="22"/>
      <c r="V50" s="22"/>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21"/>
    </row>
    <row r="51" spans="1:218" x14ac:dyDescent="0.25">
      <c r="A51" s="22"/>
      <c r="B51" s="22"/>
      <c r="C51" s="22"/>
      <c r="D51" s="22"/>
      <c r="E51" s="22"/>
      <c r="F51" s="22"/>
      <c r="G51" s="22"/>
      <c r="H51" s="22"/>
      <c r="I51" s="22"/>
      <c r="J51" s="22"/>
      <c r="K51" s="17">
        <f>SUM(Table1[[#This Row],[Challenge 1]:[Challenge 50]])</f>
        <v>0</v>
      </c>
      <c r="L51" s="88">
        <f>SUM(Table1[[#This Row],[Club 1]:[Club 50]])</f>
        <v>0</v>
      </c>
      <c r="M51" s="88">
        <f>SUM(Table1[[#This Row],[Intra-school sports 1]:[Intra-school sports 50]])</f>
        <v>0</v>
      </c>
      <c r="N51" s="88">
        <f>SUM(Table1[[#This Row],[Inter School sports 1]:[Inter School sports 50]])</f>
        <v>0</v>
      </c>
      <c r="O51" s="17">
        <f>COUNTIF(Table1[[#This Row],[Community club (type name of club(s). All clubs will count as ''1'']],"*")</f>
        <v>0</v>
      </c>
      <c r="P51" s="17">
        <f>IF(OR(Table1[[#This Row],[Total Challenges]]&gt;0,Table1[[#This Row],[Total Ex-C Clubs]]&gt;0,Table1[[#This Row],[Total Intra-School Sports]]&gt;0,Table1[[#This Row],[Total Inter-School Sports]]&gt;0,Table1[[#This Row],[Community Clubs]]&gt;0),1,0)</f>
        <v>0</v>
      </c>
      <c r="Q51" s="22"/>
      <c r="R51" s="22"/>
      <c r="S51" s="22"/>
      <c r="T51" s="22"/>
      <c r="U51" s="22"/>
      <c r="V51" s="22"/>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21"/>
    </row>
    <row r="52" spans="1:218" x14ac:dyDescent="0.25">
      <c r="A52" s="22"/>
      <c r="B52" s="22"/>
      <c r="C52" s="22"/>
      <c r="D52" s="22"/>
      <c r="E52" s="22"/>
      <c r="F52" s="22"/>
      <c r="G52" s="22"/>
      <c r="H52" s="22"/>
      <c r="I52" s="22"/>
      <c r="J52" s="22"/>
      <c r="K52" s="17">
        <f>SUM(Table1[[#This Row],[Challenge 1]:[Challenge 50]])</f>
        <v>0</v>
      </c>
      <c r="L52" s="88">
        <f>SUM(Table1[[#This Row],[Club 1]:[Club 50]])</f>
        <v>0</v>
      </c>
      <c r="M52" s="88">
        <f>SUM(Table1[[#This Row],[Intra-school sports 1]:[Intra-school sports 50]])</f>
        <v>0</v>
      </c>
      <c r="N52" s="88">
        <f>SUM(Table1[[#This Row],[Inter School sports 1]:[Inter School sports 50]])</f>
        <v>0</v>
      </c>
      <c r="O52" s="17">
        <f>COUNTIF(Table1[[#This Row],[Community club (type name of club(s). All clubs will count as ''1'']],"*")</f>
        <v>0</v>
      </c>
      <c r="P52" s="17">
        <f>IF(OR(Table1[[#This Row],[Total Challenges]]&gt;0,Table1[[#This Row],[Total Ex-C Clubs]]&gt;0,Table1[[#This Row],[Total Intra-School Sports]]&gt;0,Table1[[#This Row],[Total Inter-School Sports]]&gt;0,Table1[[#This Row],[Community Clubs]]&gt;0),1,0)</f>
        <v>0</v>
      </c>
      <c r="Q52" s="22"/>
      <c r="R52" s="22"/>
      <c r="S52" s="22"/>
      <c r="T52" s="22"/>
      <c r="U52" s="22"/>
      <c r="V52" s="22"/>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21"/>
    </row>
    <row r="53" spans="1:218" x14ac:dyDescent="0.25">
      <c r="A53" s="22"/>
      <c r="B53" s="22"/>
      <c r="C53" s="22"/>
      <c r="D53" s="22"/>
      <c r="E53" s="22"/>
      <c r="F53" s="22"/>
      <c r="G53" s="22"/>
      <c r="H53" s="22"/>
      <c r="I53" s="22"/>
      <c r="J53" s="22"/>
      <c r="K53" s="17">
        <f>SUM(Table1[[#This Row],[Challenge 1]:[Challenge 50]])</f>
        <v>0</v>
      </c>
      <c r="L53" s="88">
        <f>SUM(Table1[[#This Row],[Club 1]:[Club 50]])</f>
        <v>0</v>
      </c>
      <c r="M53" s="88">
        <f>SUM(Table1[[#This Row],[Intra-school sports 1]:[Intra-school sports 50]])</f>
        <v>0</v>
      </c>
      <c r="N53" s="88">
        <f>SUM(Table1[[#This Row],[Inter School sports 1]:[Inter School sports 50]])</f>
        <v>0</v>
      </c>
      <c r="O53" s="17">
        <f>COUNTIF(Table1[[#This Row],[Community club (type name of club(s). All clubs will count as ''1'']],"*")</f>
        <v>0</v>
      </c>
      <c r="P53" s="17">
        <f>IF(OR(Table1[[#This Row],[Total Challenges]]&gt;0,Table1[[#This Row],[Total Ex-C Clubs]]&gt;0,Table1[[#This Row],[Total Intra-School Sports]]&gt;0,Table1[[#This Row],[Total Inter-School Sports]]&gt;0,Table1[[#This Row],[Community Clubs]]&gt;0),1,0)</f>
        <v>0</v>
      </c>
      <c r="Q53" s="22"/>
      <c r="R53" s="22"/>
      <c r="S53" s="22"/>
      <c r="T53" s="22"/>
      <c r="U53" s="22"/>
      <c r="V53" s="22"/>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21"/>
    </row>
    <row r="54" spans="1:218" x14ac:dyDescent="0.25">
      <c r="A54" s="22"/>
      <c r="B54" s="22"/>
      <c r="C54" s="22"/>
      <c r="D54" s="22"/>
      <c r="E54" s="22"/>
      <c r="F54" s="22"/>
      <c r="G54" s="22"/>
      <c r="H54" s="22"/>
      <c r="I54" s="22"/>
      <c r="J54" s="22"/>
      <c r="K54" s="17">
        <f>SUM(Table1[[#This Row],[Challenge 1]:[Challenge 50]])</f>
        <v>0</v>
      </c>
      <c r="L54" s="88">
        <f>SUM(Table1[[#This Row],[Club 1]:[Club 50]])</f>
        <v>0</v>
      </c>
      <c r="M54" s="88">
        <f>SUM(Table1[[#This Row],[Intra-school sports 1]:[Intra-school sports 50]])</f>
        <v>0</v>
      </c>
      <c r="N54" s="88">
        <f>SUM(Table1[[#This Row],[Inter School sports 1]:[Inter School sports 50]])</f>
        <v>0</v>
      </c>
      <c r="O54" s="17">
        <f>COUNTIF(Table1[[#This Row],[Community club (type name of club(s). All clubs will count as ''1'']],"*")</f>
        <v>0</v>
      </c>
      <c r="P54" s="17">
        <f>IF(OR(Table1[[#This Row],[Total Challenges]]&gt;0,Table1[[#This Row],[Total Ex-C Clubs]]&gt;0,Table1[[#This Row],[Total Intra-School Sports]]&gt;0,Table1[[#This Row],[Total Inter-School Sports]]&gt;0,Table1[[#This Row],[Community Clubs]]&gt;0),1,0)</f>
        <v>0</v>
      </c>
      <c r="Q54" s="22"/>
      <c r="R54" s="22"/>
      <c r="S54" s="22"/>
      <c r="T54" s="22"/>
      <c r="U54" s="22"/>
      <c r="V54" s="22"/>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21"/>
    </row>
    <row r="55" spans="1:218" x14ac:dyDescent="0.25">
      <c r="A55" s="22"/>
      <c r="B55" s="22"/>
      <c r="C55" s="22"/>
      <c r="D55" s="22"/>
      <c r="E55" s="22"/>
      <c r="F55" s="22"/>
      <c r="G55" s="22"/>
      <c r="H55" s="22"/>
      <c r="I55" s="22"/>
      <c r="J55" s="22"/>
      <c r="K55" s="17">
        <f>SUM(Table1[[#This Row],[Challenge 1]:[Challenge 50]])</f>
        <v>0</v>
      </c>
      <c r="L55" s="88">
        <f>SUM(Table1[[#This Row],[Club 1]:[Club 50]])</f>
        <v>0</v>
      </c>
      <c r="M55" s="88">
        <f>SUM(Table1[[#This Row],[Intra-school sports 1]:[Intra-school sports 50]])</f>
        <v>0</v>
      </c>
      <c r="N55" s="88">
        <f>SUM(Table1[[#This Row],[Inter School sports 1]:[Inter School sports 50]])</f>
        <v>0</v>
      </c>
      <c r="O55" s="17">
        <f>COUNTIF(Table1[[#This Row],[Community club (type name of club(s). All clubs will count as ''1'']],"*")</f>
        <v>0</v>
      </c>
      <c r="P55" s="17">
        <f>IF(OR(Table1[[#This Row],[Total Challenges]]&gt;0,Table1[[#This Row],[Total Ex-C Clubs]]&gt;0,Table1[[#This Row],[Total Intra-School Sports]]&gt;0,Table1[[#This Row],[Total Inter-School Sports]]&gt;0,Table1[[#This Row],[Community Clubs]]&gt;0),1,0)</f>
        <v>0</v>
      </c>
      <c r="Q55" s="22"/>
      <c r="R55" s="22"/>
      <c r="S55" s="22"/>
      <c r="T55" s="22"/>
      <c r="U55" s="22"/>
      <c r="V55" s="22"/>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21"/>
    </row>
    <row r="56" spans="1:218" x14ac:dyDescent="0.25">
      <c r="A56" s="22"/>
      <c r="B56" s="22"/>
      <c r="C56" s="22"/>
      <c r="D56" s="22"/>
      <c r="E56" s="22"/>
      <c r="F56" s="22"/>
      <c r="G56" s="22"/>
      <c r="H56" s="22"/>
      <c r="I56" s="22"/>
      <c r="J56" s="22"/>
      <c r="K56" s="17">
        <f>SUM(Table1[[#This Row],[Challenge 1]:[Challenge 50]])</f>
        <v>0</v>
      </c>
      <c r="L56" s="88">
        <f>SUM(Table1[[#This Row],[Club 1]:[Club 50]])</f>
        <v>0</v>
      </c>
      <c r="M56" s="88">
        <f>SUM(Table1[[#This Row],[Intra-school sports 1]:[Intra-school sports 50]])</f>
        <v>0</v>
      </c>
      <c r="N56" s="88">
        <f>SUM(Table1[[#This Row],[Inter School sports 1]:[Inter School sports 50]])</f>
        <v>0</v>
      </c>
      <c r="O56" s="17">
        <f>COUNTIF(Table1[[#This Row],[Community club (type name of club(s). All clubs will count as ''1'']],"*")</f>
        <v>0</v>
      </c>
      <c r="P56" s="17">
        <f>IF(OR(Table1[[#This Row],[Total Challenges]]&gt;0,Table1[[#This Row],[Total Ex-C Clubs]]&gt;0,Table1[[#This Row],[Total Intra-School Sports]]&gt;0,Table1[[#This Row],[Total Inter-School Sports]]&gt;0,Table1[[#This Row],[Community Clubs]]&gt;0),1,0)</f>
        <v>0</v>
      </c>
      <c r="Q56" s="22"/>
      <c r="R56" s="22"/>
      <c r="S56" s="22"/>
      <c r="T56" s="22"/>
      <c r="U56" s="22"/>
      <c r="V56" s="22"/>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21"/>
    </row>
    <row r="57" spans="1:218" x14ac:dyDescent="0.25">
      <c r="A57" s="22"/>
      <c r="B57" s="22"/>
      <c r="C57" s="22"/>
      <c r="D57" s="22"/>
      <c r="E57" s="22"/>
      <c r="F57" s="22"/>
      <c r="G57" s="22"/>
      <c r="H57" s="22"/>
      <c r="I57" s="22"/>
      <c r="J57" s="22"/>
      <c r="K57" s="17">
        <f>SUM(Table1[[#This Row],[Challenge 1]:[Challenge 50]])</f>
        <v>0</v>
      </c>
      <c r="L57" s="88">
        <f>SUM(Table1[[#This Row],[Club 1]:[Club 50]])</f>
        <v>0</v>
      </c>
      <c r="M57" s="88">
        <f>SUM(Table1[[#This Row],[Intra-school sports 1]:[Intra-school sports 50]])</f>
        <v>0</v>
      </c>
      <c r="N57" s="88">
        <f>SUM(Table1[[#This Row],[Inter School sports 1]:[Inter School sports 50]])</f>
        <v>0</v>
      </c>
      <c r="O57" s="17">
        <f>COUNTIF(Table1[[#This Row],[Community club (type name of club(s). All clubs will count as ''1'']],"*")</f>
        <v>0</v>
      </c>
      <c r="P57" s="17">
        <f>IF(OR(Table1[[#This Row],[Total Challenges]]&gt;0,Table1[[#This Row],[Total Ex-C Clubs]]&gt;0,Table1[[#This Row],[Total Intra-School Sports]]&gt;0,Table1[[#This Row],[Total Inter-School Sports]]&gt;0,Table1[[#This Row],[Community Clubs]]&gt;0),1,0)</f>
        <v>0</v>
      </c>
      <c r="Q57" s="22"/>
      <c r="R57" s="22"/>
      <c r="S57" s="22"/>
      <c r="T57" s="22"/>
      <c r="U57" s="22"/>
      <c r="V57" s="22"/>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21"/>
    </row>
    <row r="58" spans="1:218" x14ac:dyDescent="0.25">
      <c r="A58" s="22"/>
      <c r="B58" s="22"/>
      <c r="C58" s="22"/>
      <c r="D58" s="22"/>
      <c r="E58" s="22"/>
      <c r="F58" s="22"/>
      <c r="G58" s="22"/>
      <c r="H58" s="22"/>
      <c r="I58" s="22"/>
      <c r="J58" s="22"/>
      <c r="K58" s="17">
        <f>SUM(Table1[[#This Row],[Challenge 1]:[Challenge 50]])</f>
        <v>0</v>
      </c>
      <c r="L58" s="88">
        <f>SUM(Table1[[#This Row],[Club 1]:[Club 50]])</f>
        <v>0</v>
      </c>
      <c r="M58" s="88">
        <f>SUM(Table1[[#This Row],[Intra-school sports 1]:[Intra-school sports 50]])</f>
        <v>0</v>
      </c>
      <c r="N58" s="88">
        <f>SUM(Table1[[#This Row],[Inter School sports 1]:[Inter School sports 50]])</f>
        <v>0</v>
      </c>
      <c r="O58" s="17">
        <f>COUNTIF(Table1[[#This Row],[Community club (type name of club(s). All clubs will count as ''1'']],"*")</f>
        <v>0</v>
      </c>
      <c r="P58" s="17">
        <f>IF(OR(Table1[[#This Row],[Total Challenges]]&gt;0,Table1[[#This Row],[Total Ex-C Clubs]]&gt;0,Table1[[#This Row],[Total Intra-School Sports]]&gt;0,Table1[[#This Row],[Total Inter-School Sports]]&gt;0,Table1[[#This Row],[Community Clubs]]&gt;0),1,0)</f>
        <v>0</v>
      </c>
      <c r="Q58" s="22"/>
      <c r="R58" s="22"/>
      <c r="S58" s="22"/>
      <c r="T58" s="22"/>
      <c r="U58" s="22"/>
      <c r="V58" s="22"/>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21"/>
    </row>
    <row r="59" spans="1:218" x14ac:dyDescent="0.25">
      <c r="A59" s="22"/>
      <c r="B59" s="22"/>
      <c r="C59" s="22"/>
      <c r="D59" s="22"/>
      <c r="E59" s="22"/>
      <c r="F59" s="22"/>
      <c r="G59" s="22"/>
      <c r="H59" s="22"/>
      <c r="I59" s="22"/>
      <c r="J59" s="22"/>
      <c r="K59" s="17">
        <f>SUM(Table1[[#This Row],[Challenge 1]:[Challenge 50]])</f>
        <v>0</v>
      </c>
      <c r="L59" s="88">
        <f>SUM(Table1[[#This Row],[Club 1]:[Club 50]])</f>
        <v>0</v>
      </c>
      <c r="M59" s="88">
        <f>SUM(Table1[[#This Row],[Intra-school sports 1]:[Intra-school sports 50]])</f>
        <v>0</v>
      </c>
      <c r="N59" s="88">
        <f>SUM(Table1[[#This Row],[Inter School sports 1]:[Inter School sports 50]])</f>
        <v>0</v>
      </c>
      <c r="O59" s="17">
        <f>COUNTIF(Table1[[#This Row],[Community club (type name of club(s). All clubs will count as ''1'']],"*")</f>
        <v>0</v>
      </c>
      <c r="P59" s="17">
        <f>IF(OR(Table1[[#This Row],[Total Challenges]]&gt;0,Table1[[#This Row],[Total Ex-C Clubs]]&gt;0,Table1[[#This Row],[Total Intra-School Sports]]&gt;0,Table1[[#This Row],[Total Inter-School Sports]]&gt;0,Table1[[#This Row],[Community Clubs]]&gt;0),1,0)</f>
        <v>0</v>
      </c>
      <c r="Q59" s="22"/>
      <c r="R59" s="22"/>
      <c r="S59" s="22"/>
      <c r="T59" s="22"/>
      <c r="U59" s="22"/>
      <c r="V59" s="22"/>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21"/>
    </row>
    <row r="60" spans="1:218" x14ac:dyDescent="0.25">
      <c r="A60" s="22"/>
      <c r="B60" s="22"/>
      <c r="C60" s="22"/>
      <c r="D60" s="22"/>
      <c r="E60" s="22"/>
      <c r="F60" s="22"/>
      <c r="G60" s="22"/>
      <c r="H60" s="22"/>
      <c r="I60" s="22"/>
      <c r="J60" s="22"/>
      <c r="K60" s="17">
        <f>SUM(Table1[[#This Row],[Challenge 1]:[Challenge 50]])</f>
        <v>0</v>
      </c>
      <c r="L60" s="88">
        <f>SUM(Table1[[#This Row],[Club 1]:[Club 50]])</f>
        <v>0</v>
      </c>
      <c r="M60" s="88">
        <f>SUM(Table1[[#This Row],[Intra-school sports 1]:[Intra-school sports 50]])</f>
        <v>0</v>
      </c>
      <c r="N60" s="88">
        <f>SUM(Table1[[#This Row],[Inter School sports 1]:[Inter School sports 50]])</f>
        <v>0</v>
      </c>
      <c r="O60" s="17">
        <f>COUNTIF(Table1[[#This Row],[Community club (type name of club(s). All clubs will count as ''1'']],"*")</f>
        <v>0</v>
      </c>
      <c r="P60" s="17">
        <f>IF(OR(Table1[[#This Row],[Total Challenges]]&gt;0,Table1[[#This Row],[Total Ex-C Clubs]]&gt;0,Table1[[#This Row],[Total Intra-School Sports]]&gt;0,Table1[[#This Row],[Total Inter-School Sports]]&gt;0,Table1[[#This Row],[Community Clubs]]&gt;0),1,0)</f>
        <v>0</v>
      </c>
      <c r="Q60" s="22"/>
      <c r="R60" s="22"/>
      <c r="S60" s="22"/>
      <c r="T60" s="22"/>
      <c r="U60" s="22"/>
      <c r="V60" s="22"/>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21"/>
    </row>
    <row r="61" spans="1:218" x14ac:dyDescent="0.25">
      <c r="A61" s="22"/>
      <c r="B61" s="22"/>
      <c r="C61" s="22"/>
      <c r="D61" s="22"/>
      <c r="E61" s="22"/>
      <c r="F61" s="22"/>
      <c r="G61" s="22"/>
      <c r="H61" s="22"/>
      <c r="I61" s="22"/>
      <c r="J61" s="22"/>
      <c r="K61" s="17">
        <f>SUM(Table1[[#This Row],[Challenge 1]:[Challenge 50]])</f>
        <v>0</v>
      </c>
      <c r="L61" s="88">
        <f>SUM(Table1[[#This Row],[Club 1]:[Club 50]])</f>
        <v>0</v>
      </c>
      <c r="M61" s="88">
        <f>SUM(Table1[[#This Row],[Intra-school sports 1]:[Intra-school sports 50]])</f>
        <v>0</v>
      </c>
      <c r="N61" s="88">
        <f>SUM(Table1[[#This Row],[Inter School sports 1]:[Inter School sports 50]])</f>
        <v>0</v>
      </c>
      <c r="O61" s="17">
        <f>COUNTIF(Table1[[#This Row],[Community club (type name of club(s). All clubs will count as ''1'']],"*")</f>
        <v>0</v>
      </c>
      <c r="P61" s="17">
        <f>IF(OR(Table1[[#This Row],[Total Challenges]]&gt;0,Table1[[#This Row],[Total Ex-C Clubs]]&gt;0,Table1[[#This Row],[Total Intra-School Sports]]&gt;0,Table1[[#This Row],[Total Inter-School Sports]]&gt;0,Table1[[#This Row],[Community Clubs]]&gt;0),1,0)</f>
        <v>0</v>
      </c>
      <c r="Q61" s="22"/>
      <c r="R61" s="22"/>
      <c r="S61" s="22"/>
      <c r="T61" s="22"/>
      <c r="U61" s="22"/>
      <c r="V61" s="22"/>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21"/>
    </row>
    <row r="62" spans="1:218" x14ac:dyDescent="0.25">
      <c r="A62" s="22"/>
      <c r="B62" s="22"/>
      <c r="C62" s="22"/>
      <c r="D62" s="22"/>
      <c r="E62" s="22"/>
      <c r="F62" s="22"/>
      <c r="G62" s="22"/>
      <c r="H62" s="22"/>
      <c r="I62" s="22"/>
      <c r="J62" s="22"/>
      <c r="K62" s="17">
        <f>SUM(Table1[[#This Row],[Challenge 1]:[Challenge 50]])</f>
        <v>0</v>
      </c>
      <c r="L62" s="88">
        <f>SUM(Table1[[#This Row],[Club 1]:[Club 50]])</f>
        <v>0</v>
      </c>
      <c r="M62" s="88">
        <f>SUM(Table1[[#This Row],[Intra-school sports 1]:[Intra-school sports 50]])</f>
        <v>0</v>
      </c>
      <c r="N62" s="88">
        <f>SUM(Table1[[#This Row],[Inter School sports 1]:[Inter School sports 50]])</f>
        <v>0</v>
      </c>
      <c r="O62" s="17">
        <f>COUNTIF(Table1[[#This Row],[Community club (type name of club(s). All clubs will count as ''1'']],"*")</f>
        <v>0</v>
      </c>
      <c r="P62" s="17">
        <f>IF(OR(Table1[[#This Row],[Total Challenges]]&gt;0,Table1[[#This Row],[Total Ex-C Clubs]]&gt;0,Table1[[#This Row],[Total Intra-School Sports]]&gt;0,Table1[[#This Row],[Total Inter-School Sports]]&gt;0,Table1[[#This Row],[Community Clubs]]&gt;0),1,0)</f>
        <v>0</v>
      </c>
      <c r="Q62" s="22"/>
      <c r="R62" s="22"/>
      <c r="S62" s="22"/>
      <c r="T62" s="22"/>
      <c r="U62" s="22"/>
      <c r="V62" s="22"/>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21"/>
    </row>
    <row r="63" spans="1:218" x14ac:dyDescent="0.25">
      <c r="A63" s="22"/>
      <c r="B63" s="22"/>
      <c r="C63" s="22"/>
      <c r="D63" s="22"/>
      <c r="E63" s="22"/>
      <c r="F63" s="22"/>
      <c r="G63" s="22"/>
      <c r="H63" s="22"/>
      <c r="I63" s="22"/>
      <c r="J63" s="22"/>
      <c r="K63" s="17">
        <f>SUM(Table1[[#This Row],[Challenge 1]:[Challenge 50]])</f>
        <v>0</v>
      </c>
      <c r="L63" s="88">
        <f>SUM(Table1[[#This Row],[Club 1]:[Club 50]])</f>
        <v>0</v>
      </c>
      <c r="M63" s="88">
        <f>SUM(Table1[[#This Row],[Intra-school sports 1]:[Intra-school sports 50]])</f>
        <v>0</v>
      </c>
      <c r="N63" s="88">
        <f>SUM(Table1[[#This Row],[Inter School sports 1]:[Inter School sports 50]])</f>
        <v>0</v>
      </c>
      <c r="O63" s="17">
        <f>COUNTIF(Table1[[#This Row],[Community club (type name of club(s). All clubs will count as ''1'']],"*")</f>
        <v>0</v>
      </c>
      <c r="P63" s="17">
        <f>IF(OR(Table1[[#This Row],[Total Challenges]]&gt;0,Table1[[#This Row],[Total Ex-C Clubs]]&gt;0,Table1[[#This Row],[Total Intra-School Sports]]&gt;0,Table1[[#This Row],[Total Inter-School Sports]]&gt;0,Table1[[#This Row],[Community Clubs]]&gt;0),1,0)</f>
        <v>0</v>
      </c>
      <c r="Q63" s="22"/>
      <c r="R63" s="22"/>
      <c r="S63" s="22"/>
      <c r="T63" s="22"/>
      <c r="U63" s="22"/>
      <c r="V63" s="22"/>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21"/>
    </row>
    <row r="64" spans="1:218" x14ac:dyDescent="0.25">
      <c r="A64" s="22"/>
      <c r="B64" s="22"/>
      <c r="C64" s="22"/>
      <c r="D64" s="22"/>
      <c r="E64" s="22"/>
      <c r="F64" s="22"/>
      <c r="G64" s="22"/>
      <c r="H64" s="22"/>
      <c r="I64" s="22"/>
      <c r="J64" s="22"/>
      <c r="K64" s="17">
        <f>SUM(Table1[[#This Row],[Challenge 1]:[Challenge 50]])</f>
        <v>0</v>
      </c>
      <c r="L64" s="88">
        <f>SUM(Table1[[#This Row],[Club 1]:[Club 50]])</f>
        <v>0</v>
      </c>
      <c r="M64" s="88">
        <f>SUM(Table1[[#This Row],[Intra-school sports 1]:[Intra-school sports 50]])</f>
        <v>0</v>
      </c>
      <c r="N64" s="88">
        <f>SUM(Table1[[#This Row],[Inter School sports 1]:[Inter School sports 50]])</f>
        <v>0</v>
      </c>
      <c r="O64" s="17">
        <f>COUNTIF(Table1[[#This Row],[Community club (type name of club(s). All clubs will count as ''1'']],"*")</f>
        <v>0</v>
      </c>
      <c r="P64" s="17">
        <f>IF(OR(Table1[[#This Row],[Total Challenges]]&gt;0,Table1[[#This Row],[Total Ex-C Clubs]]&gt;0,Table1[[#This Row],[Total Intra-School Sports]]&gt;0,Table1[[#This Row],[Total Inter-School Sports]]&gt;0,Table1[[#This Row],[Community Clubs]]&gt;0),1,0)</f>
        <v>0</v>
      </c>
      <c r="Q64" s="22"/>
      <c r="R64" s="22"/>
      <c r="S64" s="22"/>
      <c r="T64" s="22"/>
      <c r="U64" s="22"/>
      <c r="V64" s="22"/>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21"/>
    </row>
    <row r="65" spans="1:218" x14ac:dyDescent="0.25">
      <c r="A65" s="22"/>
      <c r="B65" s="22"/>
      <c r="C65" s="22"/>
      <c r="D65" s="22"/>
      <c r="E65" s="22"/>
      <c r="F65" s="22"/>
      <c r="G65" s="22"/>
      <c r="H65" s="22"/>
      <c r="I65" s="22"/>
      <c r="J65" s="22"/>
      <c r="K65" s="17">
        <f>SUM(Table1[[#This Row],[Challenge 1]:[Challenge 50]])</f>
        <v>0</v>
      </c>
      <c r="L65" s="88">
        <f>SUM(Table1[[#This Row],[Club 1]:[Club 50]])</f>
        <v>0</v>
      </c>
      <c r="M65" s="88">
        <f>SUM(Table1[[#This Row],[Intra-school sports 1]:[Intra-school sports 50]])</f>
        <v>0</v>
      </c>
      <c r="N65" s="88">
        <f>SUM(Table1[[#This Row],[Inter School sports 1]:[Inter School sports 50]])</f>
        <v>0</v>
      </c>
      <c r="O65" s="17">
        <f>COUNTIF(Table1[[#This Row],[Community club (type name of club(s). All clubs will count as ''1'']],"*")</f>
        <v>0</v>
      </c>
      <c r="P65" s="17">
        <f>IF(OR(Table1[[#This Row],[Total Challenges]]&gt;0,Table1[[#This Row],[Total Ex-C Clubs]]&gt;0,Table1[[#This Row],[Total Intra-School Sports]]&gt;0,Table1[[#This Row],[Total Inter-School Sports]]&gt;0,Table1[[#This Row],[Community Clubs]]&gt;0),1,0)</f>
        <v>0</v>
      </c>
      <c r="Q65" s="22"/>
      <c r="R65" s="22"/>
      <c r="S65" s="22"/>
      <c r="T65" s="22"/>
      <c r="U65" s="22"/>
      <c r="V65" s="22"/>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21"/>
    </row>
    <row r="66" spans="1:218" x14ac:dyDescent="0.25">
      <c r="A66" s="22"/>
      <c r="B66" s="22"/>
      <c r="C66" s="22"/>
      <c r="D66" s="22"/>
      <c r="E66" s="22"/>
      <c r="F66" s="22"/>
      <c r="G66" s="22"/>
      <c r="H66" s="22"/>
      <c r="I66" s="22"/>
      <c r="J66" s="22"/>
      <c r="K66" s="17">
        <f>SUM(Table1[[#This Row],[Challenge 1]:[Challenge 50]])</f>
        <v>0</v>
      </c>
      <c r="L66" s="88">
        <f>SUM(Table1[[#This Row],[Club 1]:[Club 50]])</f>
        <v>0</v>
      </c>
      <c r="M66" s="88">
        <f>SUM(Table1[[#This Row],[Intra-school sports 1]:[Intra-school sports 50]])</f>
        <v>0</v>
      </c>
      <c r="N66" s="88">
        <f>SUM(Table1[[#This Row],[Inter School sports 1]:[Inter School sports 50]])</f>
        <v>0</v>
      </c>
      <c r="O66" s="17">
        <f>COUNTIF(Table1[[#This Row],[Community club (type name of club(s). All clubs will count as ''1'']],"*")</f>
        <v>0</v>
      </c>
      <c r="P66" s="17">
        <f>IF(OR(Table1[[#This Row],[Total Challenges]]&gt;0,Table1[[#This Row],[Total Ex-C Clubs]]&gt;0,Table1[[#This Row],[Total Intra-School Sports]]&gt;0,Table1[[#This Row],[Total Inter-School Sports]]&gt;0,Table1[[#This Row],[Community Clubs]]&gt;0),1,0)</f>
        <v>0</v>
      </c>
      <c r="Q66" s="22"/>
      <c r="R66" s="22"/>
      <c r="S66" s="22"/>
      <c r="T66" s="22"/>
      <c r="U66" s="22"/>
      <c r="V66" s="22"/>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21"/>
    </row>
    <row r="67" spans="1:218" x14ac:dyDescent="0.25">
      <c r="A67" s="22"/>
      <c r="B67" s="22"/>
      <c r="C67" s="22"/>
      <c r="D67" s="22"/>
      <c r="E67" s="22"/>
      <c r="F67" s="22"/>
      <c r="G67" s="22"/>
      <c r="H67" s="22"/>
      <c r="I67" s="22"/>
      <c r="J67" s="22"/>
      <c r="K67" s="17">
        <f>SUM(Table1[[#This Row],[Challenge 1]:[Challenge 50]])</f>
        <v>0</v>
      </c>
      <c r="L67" s="88">
        <f>SUM(Table1[[#This Row],[Club 1]:[Club 50]])</f>
        <v>0</v>
      </c>
      <c r="M67" s="88">
        <f>SUM(Table1[[#This Row],[Intra-school sports 1]:[Intra-school sports 50]])</f>
        <v>0</v>
      </c>
      <c r="N67" s="88">
        <f>SUM(Table1[[#This Row],[Inter School sports 1]:[Inter School sports 50]])</f>
        <v>0</v>
      </c>
      <c r="O67" s="17">
        <f>COUNTIF(Table1[[#This Row],[Community club (type name of club(s). All clubs will count as ''1'']],"*")</f>
        <v>0</v>
      </c>
      <c r="P67" s="17">
        <f>IF(OR(Table1[[#This Row],[Total Challenges]]&gt;0,Table1[[#This Row],[Total Ex-C Clubs]]&gt;0,Table1[[#This Row],[Total Intra-School Sports]]&gt;0,Table1[[#This Row],[Total Inter-School Sports]]&gt;0,Table1[[#This Row],[Community Clubs]]&gt;0),1,0)</f>
        <v>0</v>
      </c>
      <c r="Q67" s="22"/>
      <c r="R67" s="22"/>
      <c r="S67" s="22"/>
      <c r="T67" s="22"/>
      <c r="U67" s="22"/>
      <c r="V67" s="22"/>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21"/>
    </row>
    <row r="68" spans="1:218" x14ac:dyDescent="0.25">
      <c r="A68" s="22"/>
      <c r="B68" s="22"/>
      <c r="C68" s="22"/>
      <c r="D68" s="22"/>
      <c r="E68" s="22"/>
      <c r="F68" s="22"/>
      <c r="G68" s="22"/>
      <c r="H68" s="22"/>
      <c r="I68" s="22"/>
      <c r="J68" s="22"/>
      <c r="K68" s="17">
        <f>SUM(Table1[[#This Row],[Challenge 1]:[Challenge 50]])</f>
        <v>0</v>
      </c>
      <c r="L68" s="88">
        <f>SUM(Table1[[#This Row],[Club 1]:[Club 50]])</f>
        <v>0</v>
      </c>
      <c r="M68" s="88">
        <f>SUM(Table1[[#This Row],[Intra-school sports 1]:[Intra-school sports 50]])</f>
        <v>0</v>
      </c>
      <c r="N68" s="88">
        <f>SUM(Table1[[#This Row],[Inter School sports 1]:[Inter School sports 50]])</f>
        <v>0</v>
      </c>
      <c r="O68" s="17">
        <f>COUNTIF(Table1[[#This Row],[Community club (type name of club(s). All clubs will count as ''1'']],"*")</f>
        <v>0</v>
      </c>
      <c r="P68" s="17">
        <f>IF(OR(Table1[[#This Row],[Total Challenges]]&gt;0,Table1[[#This Row],[Total Ex-C Clubs]]&gt;0,Table1[[#This Row],[Total Intra-School Sports]]&gt;0,Table1[[#This Row],[Total Inter-School Sports]]&gt;0,Table1[[#This Row],[Community Clubs]]&gt;0),1,0)</f>
        <v>0</v>
      </c>
      <c r="Q68" s="22"/>
      <c r="R68" s="22"/>
      <c r="S68" s="22"/>
      <c r="T68" s="22"/>
      <c r="U68" s="22"/>
      <c r="V68" s="22"/>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21"/>
    </row>
    <row r="69" spans="1:218" x14ac:dyDescent="0.25">
      <c r="A69" s="22"/>
      <c r="B69" s="22"/>
      <c r="C69" s="22"/>
      <c r="D69" s="22"/>
      <c r="E69" s="22"/>
      <c r="F69" s="22"/>
      <c r="G69" s="22"/>
      <c r="H69" s="22"/>
      <c r="I69" s="22"/>
      <c r="J69" s="22"/>
      <c r="K69" s="17">
        <f>SUM(Table1[[#This Row],[Challenge 1]:[Challenge 50]])</f>
        <v>0</v>
      </c>
      <c r="L69" s="88">
        <f>SUM(Table1[[#This Row],[Club 1]:[Club 50]])</f>
        <v>0</v>
      </c>
      <c r="M69" s="88">
        <f>SUM(Table1[[#This Row],[Intra-school sports 1]:[Intra-school sports 50]])</f>
        <v>0</v>
      </c>
      <c r="N69" s="88">
        <f>SUM(Table1[[#This Row],[Inter School sports 1]:[Inter School sports 50]])</f>
        <v>0</v>
      </c>
      <c r="O69" s="17">
        <f>COUNTIF(Table1[[#This Row],[Community club (type name of club(s). All clubs will count as ''1'']],"*")</f>
        <v>0</v>
      </c>
      <c r="P69" s="17">
        <f>IF(OR(Table1[[#This Row],[Total Challenges]]&gt;0,Table1[[#This Row],[Total Ex-C Clubs]]&gt;0,Table1[[#This Row],[Total Intra-School Sports]]&gt;0,Table1[[#This Row],[Total Inter-School Sports]]&gt;0,Table1[[#This Row],[Community Clubs]]&gt;0),1,0)</f>
        <v>0</v>
      </c>
      <c r="Q69" s="22"/>
      <c r="R69" s="22"/>
      <c r="S69" s="22"/>
      <c r="T69" s="22"/>
      <c r="U69" s="22"/>
      <c r="V69" s="22"/>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21"/>
    </row>
    <row r="70" spans="1:218" x14ac:dyDescent="0.25">
      <c r="A70" s="22"/>
      <c r="B70" s="22"/>
      <c r="C70" s="22"/>
      <c r="D70" s="22"/>
      <c r="E70" s="22"/>
      <c r="F70" s="22"/>
      <c r="G70" s="22"/>
      <c r="H70" s="22"/>
      <c r="I70" s="22"/>
      <c r="J70" s="22"/>
      <c r="K70" s="17">
        <f>SUM(Table1[[#This Row],[Challenge 1]:[Challenge 50]])</f>
        <v>0</v>
      </c>
      <c r="L70" s="88">
        <f>SUM(Table1[[#This Row],[Club 1]:[Club 50]])</f>
        <v>0</v>
      </c>
      <c r="M70" s="88">
        <f>SUM(Table1[[#This Row],[Intra-school sports 1]:[Intra-school sports 50]])</f>
        <v>0</v>
      </c>
      <c r="N70" s="88">
        <f>SUM(Table1[[#This Row],[Inter School sports 1]:[Inter School sports 50]])</f>
        <v>0</v>
      </c>
      <c r="O70" s="17">
        <f>COUNTIF(Table1[[#This Row],[Community club (type name of club(s). All clubs will count as ''1'']],"*")</f>
        <v>0</v>
      </c>
      <c r="P70" s="17">
        <f>IF(OR(Table1[[#This Row],[Total Challenges]]&gt;0,Table1[[#This Row],[Total Ex-C Clubs]]&gt;0,Table1[[#This Row],[Total Intra-School Sports]]&gt;0,Table1[[#This Row],[Total Inter-School Sports]]&gt;0,Table1[[#This Row],[Community Clubs]]&gt;0),1,0)</f>
        <v>0</v>
      </c>
      <c r="Q70" s="22"/>
      <c r="R70" s="22"/>
      <c r="S70" s="22"/>
      <c r="T70" s="22"/>
      <c r="U70" s="22"/>
      <c r="V70" s="22"/>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21"/>
    </row>
    <row r="71" spans="1:218" x14ac:dyDescent="0.25">
      <c r="A71" s="22"/>
      <c r="B71" s="22"/>
      <c r="C71" s="22"/>
      <c r="D71" s="22"/>
      <c r="E71" s="22"/>
      <c r="F71" s="22"/>
      <c r="G71" s="22"/>
      <c r="H71" s="22"/>
      <c r="I71" s="22"/>
      <c r="J71" s="22"/>
      <c r="K71" s="17">
        <f>SUM(Table1[[#This Row],[Challenge 1]:[Challenge 50]])</f>
        <v>0</v>
      </c>
      <c r="L71" s="88">
        <f>SUM(Table1[[#This Row],[Club 1]:[Club 50]])</f>
        <v>0</v>
      </c>
      <c r="M71" s="88">
        <f>SUM(Table1[[#This Row],[Intra-school sports 1]:[Intra-school sports 50]])</f>
        <v>0</v>
      </c>
      <c r="N71" s="88">
        <f>SUM(Table1[[#This Row],[Inter School sports 1]:[Inter School sports 50]])</f>
        <v>0</v>
      </c>
      <c r="O71" s="17">
        <f>COUNTIF(Table1[[#This Row],[Community club (type name of club(s). All clubs will count as ''1'']],"*")</f>
        <v>0</v>
      </c>
      <c r="P71" s="17">
        <f>IF(OR(Table1[[#This Row],[Total Challenges]]&gt;0,Table1[[#This Row],[Total Ex-C Clubs]]&gt;0,Table1[[#This Row],[Total Intra-School Sports]]&gt;0,Table1[[#This Row],[Total Inter-School Sports]]&gt;0,Table1[[#This Row],[Community Clubs]]&gt;0),1,0)</f>
        <v>0</v>
      </c>
      <c r="Q71" s="22"/>
      <c r="R71" s="22"/>
      <c r="S71" s="22"/>
      <c r="T71" s="22"/>
      <c r="U71" s="22"/>
      <c r="V71" s="22"/>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21"/>
    </row>
    <row r="72" spans="1:218" x14ac:dyDescent="0.25">
      <c r="A72" s="22"/>
      <c r="B72" s="22"/>
      <c r="C72" s="22"/>
      <c r="D72" s="22"/>
      <c r="E72" s="22"/>
      <c r="F72" s="22"/>
      <c r="G72" s="22"/>
      <c r="H72" s="22"/>
      <c r="I72" s="22"/>
      <c r="J72" s="22"/>
      <c r="K72" s="17">
        <f>SUM(Table1[[#This Row],[Challenge 1]:[Challenge 50]])</f>
        <v>0</v>
      </c>
      <c r="L72" s="88">
        <f>SUM(Table1[[#This Row],[Club 1]:[Club 50]])</f>
        <v>0</v>
      </c>
      <c r="M72" s="88">
        <f>SUM(Table1[[#This Row],[Intra-school sports 1]:[Intra-school sports 50]])</f>
        <v>0</v>
      </c>
      <c r="N72" s="88">
        <f>SUM(Table1[[#This Row],[Inter School sports 1]:[Inter School sports 50]])</f>
        <v>0</v>
      </c>
      <c r="O72" s="17">
        <f>COUNTIF(Table1[[#This Row],[Community club (type name of club(s). All clubs will count as ''1'']],"*")</f>
        <v>0</v>
      </c>
      <c r="P72" s="17">
        <f>IF(OR(Table1[[#This Row],[Total Challenges]]&gt;0,Table1[[#This Row],[Total Ex-C Clubs]]&gt;0,Table1[[#This Row],[Total Intra-School Sports]]&gt;0,Table1[[#This Row],[Total Inter-School Sports]]&gt;0,Table1[[#This Row],[Community Clubs]]&gt;0),1,0)</f>
        <v>0</v>
      </c>
      <c r="Q72" s="22"/>
      <c r="R72" s="22"/>
      <c r="S72" s="22"/>
      <c r="T72" s="22"/>
      <c r="U72" s="22"/>
      <c r="V72" s="22"/>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21"/>
    </row>
    <row r="73" spans="1:218" x14ac:dyDescent="0.25">
      <c r="A73" s="22"/>
      <c r="B73" s="22"/>
      <c r="C73" s="22"/>
      <c r="D73" s="22"/>
      <c r="E73" s="22"/>
      <c r="F73" s="22"/>
      <c r="G73" s="22"/>
      <c r="H73" s="22"/>
      <c r="I73" s="22"/>
      <c r="J73" s="22"/>
      <c r="K73" s="17">
        <f>SUM(Table1[[#This Row],[Challenge 1]:[Challenge 50]])</f>
        <v>0</v>
      </c>
      <c r="L73" s="88">
        <f>SUM(Table1[[#This Row],[Club 1]:[Club 50]])</f>
        <v>0</v>
      </c>
      <c r="M73" s="88">
        <f>SUM(Table1[[#This Row],[Intra-school sports 1]:[Intra-school sports 50]])</f>
        <v>0</v>
      </c>
      <c r="N73" s="88">
        <f>SUM(Table1[[#This Row],[Inter School sports 1]:[Inter School sports 50]])</f>
        <v>0</v>
      </c>
      <c r="O73" s="17">
        <f>COUNTIF(Table1[[#This Row],[Community club (type name of club(s). All clubs will count as ''1'']],"*")</f>
        <v>0</v>
      </c>
      <c r="P73" s="17">
        <f>IF(OR(Table1[[#This Row],[Total Challenges]]&gt;0,Table1[[#This Row],[Total Ex-C Clubs]]&gt;0,Table1[[#This Row],[Total Intra-School Sports]]&gt;0,Table1[[#This Row],[Total Inter-School Sports]]&gt;0,Table1[[#This Row],[Community Clubs]]&gt;0),1,0)</f>
        <v>0</v>
      </c>
      <c r="Q73" s="22"/>
      <c r="R73" s="22"/>
      <c r="S73" s="22"/>
      <c r="T73" s="22"/>
      <c r="U73" s="22"/>
      <c r="V73" s="22"/>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21"/>
    </row>
    <row r="74" spans="1:218" x14ac:dyDescent="0.25">
      <c r="A74" s="22"/>
      <c r="B74" s="22"/>
      <c r="C74" s="22"/>
      <c r="D74" s="22"/>
      <c r="E74" s="22"/>
      <c r="F74" s="22"/>
      <c r="G74" s="22"/>
      <c r="H74" s="22"/>
      <c r="I74" s="22"/>
      <c r="J74" s="22"/>
      <c r="K74" s="17">
        <f>SUM(Table1[[#This Row],[Challenge 1]:[Challenge 50]])</f>
        <v>0</v>
      </c>
      <c r="L74" s="88">
        <f>SUM(Table1[[#This Row],[Club 1]:[Club 50]])</f>
        <v>0</v>
      </c>
      <c r="M74" s="88">
        <f>SUM(Table1[[#This Row],[Intra-school sports 1]:[Intra-school sports 50]])</f>
        <v>0</v>
      </c>
      <c r="N74" s="88">
        <f>SUM(Table1[[#This Row],[Inter School sports 1]:[Inter School sports 50]])</f>
        <v>0</v>
      </c>
      <c r="O74" s="17">
        <f>COUNTIF(Table1[[#This Row],[Community club (type name of club(s). All clubs will count as ''1'']],"*")</f>
        <v>0</v>
      </c>
      <c r="P74" s="17">
        <f>IF(OR(Table1[[#This Row],[Total Challenges]]&gt;0,Table1[[#This Row],[Total Ex-C Clubs]]&gt;0,Table1[[#This Row],[Total Intra-School Sports]]&gt;0,Table1[[#This Row],[Total Inter-School Sports]]&gt;0,Table1[[#This Row],[Community Clubs]]&gt;0),1,0)</f>
        <v>0</v>
      </c>
      <c r="Q74" s="22"/>
      <c r="R74" s="22"/>
      <c r="S74" s="22"/>
      <c r="T74" s="22"/>
      <c r="U74" s="22"/>
      <c r="V74" s="22"/>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21"/>
    </row>
    <row r="75" spans="1:218" x14ac:dyDescent="0.25">
      <c r="A75" s="22"/>
      <c r="B75" s="22"/>
      <c r="C75" s="22"/>
      <c r="D75" s="22"/>
      <c r="E75" s="22"/>
      <c r="F75" s="22"/>
      <c r="G75" s="22"/>
      <c r="H75" s="22"/>
      <c r="I75" s="22"/>
      <c r="J75" s="22"/>
      <c r="K75" s="17">
        <f>SUM(Table1[[#This Row],[Challenge 1]:[Challenge 50]])</f>
        <v>0</v>
      </c>
      <c r="L75" s="88">
        <f>SUM(Table1[[#This Row],[Club 1]:[Club 50]])</f>
        <v>0</v>
      </c>
      <c r="M75" s="88">
        <f>SUM(Table1[[#This Row],[Intra-school sports 1]:[Intra-school sports 50]])</f>
        <v>0</v>
      </c>
      <c r="N75" s="88">
        <f>SUM(Table1[[#This Row],[Inter School sports 1]:[Inter School sports 50]])</f>
        <v>0</v>
      </c>
      <c r="O75" s="17">
        <f>COUNTIF(Table1[[#This Row],[Community club (type name of club(s). All clubs will count as ''1'']],"*")</f>
        <v>0</v>
      </c>
      <c r="P75" s="17">
        <f>IF(OR(Table1[[#This Row],[Total Challenges]]&gt;0,Table1[[#This Row],[Total Ex-C Clubs]]&gt;0,Table1[[#This Row],[Total Intra-School Sports]]&gt;0,Table1[[#This Row],[Total Inter-School Sports]]&gt;0,Table1[[#This Row],[Community Clubs]]&gt;0),1,0)</f>
        <v>0</v>
      </c>
      <c r="Q75" s="22"/>
      <c r="R75" s="22"/>
      <c r="S75" s="22"/>
      <c r="T75" s="22"/>
      <c r="U75" s="22"/>
      <c r="V75" s="22"/>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21"/>
    </row>
    <row r="76" spans="1:218" x14ac:dyDescent="0.25">
      <c r="A76" s="22"/>
      <c r="B76" s="22"/>
      <c r="C76" s="22"/>
      <c r="D76" s="22"/>
      <c r="E76" s="22"/>
      <c r="F76" s="22"/>
      <c r="G76" s="22"/>
      <c r="H76" s="22"/>
      <c r="I76" s="22"/>
      <c r="J76" s="22"/>
      <c r="K76" s="17">
        <f>SUM(Table1[[#This Row],[Challenge 1]:[Challenge 50]])</f>
        <v>0</v>
      </c>
      <c r="L76" s="88">
        <f>SUM(Table1[[#This Row],[Club 1]:[Club 50]])</f>
        <v>0</v>
      </c>
      <c r="M76" s="88">
        <f>SUM(Table1[[#This Row],[Intra-school sports 1]:[Intra-school sports 50]])</f>
        <v>0</v>
      </c>
      <c r="N76" s="88">
        <f>SUM(Table1[[#This Row],[Inter School sports 1]:[Inter School sports 50]])</f>
        <v>0</v>
      </c>
      <c r="O76" s="17">
        <f>COUNTIF(Table1[[#This Row],[Community club (type name of club(s). All clubs will count as ''1'']],"*")</f>
        <v>0</v>
      </c>
      <c r="P76" s="17">
        <f>IF(OR(Table1[[#This Row],[Total Challenges]]&gt;0,Table1[[#This Row],[Total Ex-C Clubs]]&gt;0,Table1[[#This Row],[Total Intra-School Sports]]&gt;0,Table1[[#This Row],[Total Inter-School Sports]]&gt;0,Table1[[#This Row],[Community Clubs]]&gt;0),1,0)</f>
        <v>0</v>
      </c>
      <c r="Q76" s="22"/>
      <c r="R76" s="22"/>
      <c r="S76" s="22"/>
      <c r="T76" s="22"/>
      <c r="U76" s="22"/>
      <c r="V76" s="22"/>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21"/>
    </row>
    <row r="77" spans="1:218" x14ac:dyDescent="0.25">
      <c r="A77" s="22"/>
      <c r="B77" s="22"/>
      <c r="C77" s="22"/>
      <c r="D77" s="22"/>
      <c r="E77" s="22"/>
      <c r="F77" s="22"/>
      <c r="G77" s="22"/>
      <c r="H77" s="22"/>
      <c r="I77" s="22"/>
      <c r="J77" s="22"/>
      <c r="K77" s="17">
        <f>SUM(Table1[[#This Row],[Challenge 1]:[Challenge 50]])</f>
        <v>0</v>
      </c>
      <c r="L77" s="88">
        <f>SUM(Table1[[#This Row],[Club 1]:[Club 50]])</f>
        <v>0</v>
      </c>
      <c r="M77" s="88">
        <f>SUM(Table1[[#This Row],[Intra-school sports 1]:[Intra-school sports 50]])</f>
        <v>0</v>
      </c>
      <c r="N77" s="88">
        <f>SUM(Table1[[#This Row],[Inter School sports 1]:[Inter School sports 50]])</f>
        <v>0</v>
      </c>
      <c r="O77" s="17">
        <f>COUNTIF(Table1[[#This Row],[Community club (type name of club(s). All clubs will count as ''1'']],"*")</f>
        <v>0</v>
      </c>
      <c r="P77" s="17">
        <f>IF(OR(Table1[[#This Row],[Total Challenges]]&gt;0,Table1[[#This Row],[Total Ex-C Clubs]]&gt;0,Table1[[#This Row],[Total Intra-School Sports]]&gt;0,Table1[[#This Row],[Total Inter-School Sports]]&gt;0,Table1[[#This Row],[Community Clubs]]&gt;0),1,0)</f>
        <v>0</v>
      </c>
      <c r="Q77" s="22"/>
      <c r="R77" s="22"/>
      <c r="S77" s="22"/>
      <c r="T77" s="22"/>
      <c r="U77" s="22"/>
      <c r="V77" s="22"/>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21"/>
    </row>
    <row r="78" spans="1:218" x14ac:dyDescent="0.25">
      <c r="A78" s="22"/>
      <c r="B78" s="22"/>
      <c r="C78" s="22"/>
      <c r="D78" s="22"/>
      <c r="E78" s="22"/>
      <c r="F78" s="22"/>
      <c r="G78" s="22"/>
      <c r="H78" s="22"/>
      <c r="I78" s="22"/>
      <c r="J78" s="22"/>
      <c r="K78" s="17">
        <f>SUM(Table1[[#This Row],[Challenge 1]:[Challenge 50]])</f>
        <v>0</v>
      </c>
      <c r="L78" s="88">
        <f>SUM(Table1[[#This Row],[Club 1]:[Club 50]])</f>
        <v>0</v>
      </c>
      <c r="M78" s="88">
        <f>SUM(Table1[[#This Row],[Intra-school sports 1]:[Intra-school sports 50]])</f>
        <v>0</v>
      </c>
      <c r="N78" s="88">
        <f>SUM(Table1[[#This Row],[Inter School sports 1]:[Inter School sports 50]])</f>
        <v>0</v>
      </c>
      <c r="O78" s="17">
        <f>COUNTIF(Table1[[#This Row],[Community club (type name of club(s). All clubs will count as ''1'']],"*")</f>
        <v>0</v>
      </c>
      <c r="P78" s="17">
        <f>IF(OR(Table1[[#This Row],[Total Challenges]]&gt;0,Table1[[#This Row],[Total Ex-C Clubs]]&gt;0,Table1[[#This Row],[Total Intra-School Sports]]&gt;0,Table1[[#This Row],[Total Inter-School Sports]]&gt;0,Table1[[#This Row],[Community Clubs]]&gt;0),1,0)</f>
        <v>0</v>
      </c>
      <c r="Q78" s="22"/>
      <c r="R78" s="22"/>
      <c r="S78" s="22"/>
      <c r="T78" s="22"/>
      <c r="U78" s="22"/>
      <c r="V78" s="22"/>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21"/>
    </row>
    <row r="79" spans="1:218" x14ac:dyDescent="0.25">
      <c r="A79" s="22"/>
      <c r="B79" s="22"/>
      <c r="C79" s="22"/>
      <c r="D79" s="22"/>
      <c r="E79" s="22"/>
      <c r="F79" s="22"/>
      <c r="G79" s="22"/>
      <c r="H79" s="22"/>
      <c r="I79" s="22"/>
      <c r="J79" s="22"/>
      <c r="K79" s="17">
        <f>SUM(Table1[[#This Row],[Challenge 1]:[Challenge 50]])</f>
        <v>0</v>
      </c>
      <c r="L79" s="88">
        <f>SUM(Table1[[#This Row],[Club 1]:[Club 50]])</f>
        <v>0</v>
      </c>
      <c r="M79" s="88">
        <f>SUM(Table1[[#This Row],[Intra-school sports 1]:[Intra-school sports 50]])</f>
        <v>0</v>
      </c>
      <c r="N79" s="88">
        <f>SUM(Table1[[#This Row],[Inter School sports 1]:[Inter School sports 50]])</f>
        <v>0</v>
      </c>
      <c r="O79" s="17">
        <f>COUNTIF(Table1[[#This Row],[Community club (type name of club(s). All clubs will count as ''1'']],"*")</f>
        <v>0</v>
      </c>
      <c r="P79" s="17">
        <f>IF(OR(Table1[[#This Row],[Total Challenges]]&gt;0,Table1[[#This Row],[Total Ex-C Clubs]]&gt;0,Table1[[#This Row],[Total Intra-School Sports]]&gt;0,Table1[[#This Row],[Total Inter-School Sports]]&gt;0,Table1[[#This Row],[Community Clubs]]&gt;0),1,0)</f>
        <v>0</v>
      </c>
      <c r="Q79" s="22"/>
      <c r="R79" s="22"/>
      <c r="S79" s="22"/>
      <c r="T79" s="22"/>
      <c r="U79" s="22"/>
      <c r="V79" s="22"/>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21"/>
    </row>
    <row r="80" spans="1:218" x14ac:dyDescent="0.25">
      <c r="A80" s="22"/>
      <c r="B80" s="22"/>
      <c r="C80" s="22"/>
      <c r="D80" s="22"/>
      <c r="E80" s="22"/>
      <c r="F80" s="22"/>
      <c r="G80" s="22"/>
      <c r="H80" s="22"/>
      <c r="I80" s="22"/>
      <c r="J80" s="22"/>
      <c r="K80" s="17">
        <f>SUM(Table1[[#This Row],[Challenge 1]:[Challenge 50]])</f>
        <v>0</v>
      </c>
      <c r="L80" s="88">
        <f>SUM(Table1[[#This Row],[Club 1]:[Club 50]])</f>
        <v>0</v>
      </c>
      <c r="M80" s="88">
        <f>SUM(Table1[[#This Row],[Intra-school sports 1]:[Intra-school sports 50]])</f>
        <v>0</v>
      </c>
      <c r="N80" s="88">
        <f>SUM(Table1[[#This Row],[Inter School sports 1]:[Inter School sports 50]])</f>
        <v>0</v>
      </c>
      <c r="O80" s="17">
        <f>COUNTIF(Table1[[#This Row],[Community club (type name of club(s). All clubs will count as ''1'']],"*")</f>
        <v>0</v>
      </c>
      <c r="P80" s="17">
        <f>IF(OR(Table1[[#This Row],[Total Challenges]]&gt;0,Table1[[#This Row],[Total Ex-C Clubs]]&gt;0,Table1[[#This Row],[Total Intra-School Sports]]&gt;0,Table1[[#This Row],[Total Inter-School Sports]]&gt;0,Table1[[#This Row],[Community Clubs]]&gt;0),1,0)</f>
        <v>0</v>
      </c>
      <c r="Q80" s="22"/>
      <c r="R80" s="22"/>
      <c r="S80" s="22"/>
      <c r="T80" s="22"/>
      <c r="U80" s="22"/>
      <c r="V80" s="22"/>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21"/>
    </row>
    <row r="81" spans="1:218" x14ac:dyDescent="0.25">
      <c r="A81" s="22"/>
      <c r="B81" s="22"/>
      <c r="C81" s="22"/>
      <c r="D81" s="22"/>
      <c r="E81" s="22"/>
      <c r="F81" s="22"/>
      <c r="G81" s="22"/>
      <c r="H81" s="22"/>
      <c r="I81" s="22"/>
      <c r="J81" s="22"/>
      <c r="K81" s="17">
        <f>SUM(Table1[[#This Row],[Challenge 1]:[Challenge 50]])</f>
        <v>0</v>
      </c>
      <c r="L81" s="88">
        <f>SUM(Table1[[#This Row],[Club 1]:[Club 50]])</f>
        <v>0</v>
      </c>
      <c r="M81" s="88">
        <f>SUM(Table1[[#This Row],[Intra-school sports 1]:[Intra-school sports 50]])</f>
        <v>0</v>
      </c>
      <c r="N81" s="88">
        <f>SUM(Table1[[#This Row],[Inter School sports 1]:[Inter School sports 50]])</f>
        <v>0</v>
      </c>
      <c r="O81" s="17">
        <f>COUNTIF(Table1[[#This Row],[Community club (type name of club(s). All clubs will count as ''1'']],"*")</f>
        <v>0</v>
      </c>
      <c r="P81" s="17">
        <f>IF(OR(Table1[[#This Row],[Total Challenges]]&gt;0,Table1[[#This Row],[Total Ex-C Clubs]]&gt;0,Table1[[#This Row],[Total Intra-School Sports]]&gt;0,Table1[[#This Row],[Total Inter-School Sports]]&gt;0,Table1[[#This Row],[Community Clubs]]&gt;0),1,0)</f>
        <v>0</v>
      </c>
      <c r="Q81" s="22"/>
      <c r="R81" s="22"/>
      <c r="S81" s="22"/>
      <c r="T81" s="22"/>
      <c r="U81" s="22"/>
      <c r="V81" s="22"/>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21"/>
    </row>
    <row r="82" spans="1:218" x14ac:dyDescent="0.25">
      <c r="A82" s="22"/>
      <c r="B82" s="22"/>
      <c r="C82" s="22"/>
      <c r="D82" s="22"/>
      <c r="E82" s="22"/>
      <c r="F82" s="22"/>
      <c r="G82" s="22"/>
      <c r="H82" s="22"/>
      <c r="I82" s="22"/>
      <c r="J82" s="22"/>
      <c r="K82" s="17">
        <f>SUM(Table1[[#This Row],[Challenge 1]:[Challenge 50]])</f>
        <v>0</v>
      </c>
      <c r="L82" s="88">
        <f>SUM(Table1[[#This Row],[Club 1]:[Club 50]])</f>
        <v>0</v>
      </c>
      <c r="M82" s="88">
        <f>SUM(Table1[[#This Row],[Intra-school sports 1]:[Intra-school sports 50]])</f>
        <v>0</v>
      </c>
      <c r="N82" s="88">
        <f>SUM(Table1[[#This Row],[Inter School sports 1]:[Inter School sports 50]])</f>
        <v>0</v>
      </c>
      <c r="O82" s="17">
        <f>COUNTIF(Table1[[#This Row],[Community club (type name of club(s). All clubs will count as ''1'']],"*")</f>
        <v>0</v>
      </c>
      <c r="P82" s="17">
        <f>IF(OR(Table1[[#This Row],[Total Challenges]]&gt;0,Table1[[#This Row],[Total Ex-C Clubs]]&gt;0,Table1[[#This Row],[Total Intra-School Sports]]&gt;0,Table1[[#This Row],[Total Inter-School Sports]]&gt;0,Table1[[#This Row],[Community Clubs]]&gt;0),1,0)</f>
        <v>0</v>
      </c>
      <c r="Q82" s="22"/>
      <c r="R82" s="22"/>
      <c r="S82" s="22"/>
      <c r="T82" s="22"/>
      <c r="U82" s="22"/>
      <c r="V82" s="22"/>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21"/>
    </row>
    <row r="83" spans="1:218" x14ac:dyDescent="0.25">
      <c r="A83" s="22"/>
      <c r="B83" s="22"/>
      <c r="C83" s="22"/>
      <c r="D83" s="22"/>
      <c r="E83" s="22"/>
      <c r="F83" s="22"/>
      <c r="G83" s="22"/>
      <c r="H83" s="22"/>
      <c r="I83" s="22"/>
      <c r="J83" s="22"/>
      <c r="K83" s="17">
        <f>SUM(Table1[[#This Row],[Challenge 1]:[Challenge 50]])</f>
        <v>0</v>
      </c>
      <c r="L83" s="88">
        <f>SUM(Table1[[#This Row],[Club 1]:[Club 50]])</f>
        <v>0</v>
      </c>
      <c r="M83" s="88">
        <f>SUM(Table1[[#This Row],[Intra-school sports 1]:[Intra-school sports 50]])</f>
        <v>0</v>
      </c>
      <c r="N83" s="88">
        <f>SUM(Table1[[#This Row],[Inter School sports 1]:[Inter School sports 50]])</f>
        <v>0</v>
      </c>
      <c r="O83" s="17">
        <f>COUNTIF(Table1[[#This Row],[Community club (type name of club(s). All clubs will count as ''1'']],"*")</f>
        <v>0</v>
      </c>
      <c r="P83" s="17">
        <f>IF(OR(Table1[[#This Row],[Total Challenges]]&gt;0,Table1[[#This Row],[Total Ex-C Clubs]]&gt;0,Table1[[#This Row],[Total Intra-School Sports]]&gt;0,Table1[[#This Row],[Total Inter-School Sports]]&gt;0,Table1[[#This Row],[Community Clubs]]&gt;0),1,0)</f>
        <v>0</v>
      </c>
      <c r="Q83" s="22"/>
      <c r="R83" s="22"/>
      <c r="S83" s="22"/>
      <c r="T83" s="22"/>
      <c r="U83" s="22"/>
      <c r="V83" s="22"/>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21"/>
    </row>
    <row r="84" spans="1:218" x14ac:dyDescent="0.25">
      <c r="A84" s="22"/>
      <c r="B84" s="22"/>
      <c r="C84" s="22"/>
      <c r="D84" s="22"/>
      <c r="E84" s="22"/>
      <c r="F84" s="22"/>
      <c r="G84" s="22"/>
      <c r="H84" s="22"/>
      <c r="I84" s="22"/>
      <c r="J84" s="22"/>
      <c r="K84" s="17">
        <f>SUM(Table1[[#This Row],[Challenge 1]:[Challenge 50]])</f>
        <v>0</v>
      </c>
      <c r="L84" s="88">
        <f>SUM(Table1[[#This Row],[Club 1]:[Club 50]])</f>
        <v>0</v>
      </c>
      <c r="M84" s="88">
        <f>SUM(Table1[[#This Row],[Intra-school sports 1]:[Intra-school sports 50]])</f>
        <v>0</v>
      </c>
      <c r="N84" s="88">
        <f>SUM(Table1[[#This Row],[Inter School sports 1]:[Inter School sports 50]])</f>
        <v>0</v>
      </c>
      <c r="O84" s="17">
        <f>COUNTIF(Table1[[#This Row],[Community club (type name of club(s). All clubs will count as ''1'']],"*")</f>
        <v>0</v>
      </c>
      <c r="P84" s="17">
        <f>IF(OR(Table1[[#This Row],[Total Challenges]]&gt;0,Table1[[#This Row],[Total Ex-C Clubs]]&gt;0,Table1[[#This Row],[Total Intra-School Sports]]&gt;0,Table1[[#This Row],[Total Inter-School Sports]]&gt;0,Table1[[#This Row],[Community Clubs]]&gt;0),1,0)</f>
        <v>0</v>
      </c>
      <c r="Q84" s="22"/>
      <c r="R84" s="22"/>
      <c r="S84" s="22"/>
      <c r="T84" s="22"/>
      <c r="U84" s="22"/>
      <c r="V84" s="22"/>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21"/>
    </row>
    <row r="85" spans="1:218" x14ac:dyDescent="0.25">
      <c r="A85" s="22"/>
      <c r="B85" s="22"/>
      <c r="C85" s="22"/>
      <c r="D85" s="22"/>
      <c r="E85" s="22"/>
      <c r="F85" s="22"/>
      <c r="G85" s="22"/>
      <c r="H85" s="22"/>
      <c r="I85" s="22"/>
      <c r="J85" s="22"/>
      <c r="K85" s="17">
        <f>SUM(Table1[[#This Row],[Challenge 1]:[Challenge 50]])</f>
        <v>0</v>
      </c>
      <c r="L85" s="88">
        <f>SUM(Table1[[#This Row],[Club 1]:[Club 50]])</f>
        <v>0</v>
      </c>
      <c r="M85" s="88">
        <f>SUM(Table1[[#This Row],[Intra-school sports 1]:[Intra-school sports 50]])</f>
        <v>0</v>
      </c>
      <c r="N85" s="88">
        <f>SUM(Table1[[#This Row],[Inter School sports 1]:[Inter School sports 50]])</f>
        <v>0</v>
      </c>
      <c r="O85" s="17">
        <f>COUNTIF(Table1[[#This Row],[Community club (type name of club(s). All clubs will count as ''1'']],"*")</f>
        <v>0</v>
      </c>
      <c r="P85" s="17">
        <f>IF(OR(Table1[[#This Row],[Total Challenges]]&gt;0,Table1[[#This Row],[Total Ex-C Clubs]]&gt;0,Table1[[#This Row],[Total Intra-School Sports]]&gt;0,Table1[[#This Row],[Total Inter-School Sports]]&gt;0,Table1[[#This Row],[Community Clubs]]&gt;0),1,0)</f>
        <v>0</v>
      </c>
      <c r="Q85" s="22"/>
      <c r="R85" s="22"/>
      <c r="S85" s="22"/>
      <c r="T85" s="22"/>
      <c r="U85" s="22"/>
      <c r="V85" s="22"/>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21"/>
    </row>
    <row r="86" spans="1:218" x14ac:dyDescent="0.25">
      <c r="A86" s="22"/>
      <c r="B86" s="22"/>
      <c r="C86" s="22"/>
      <c r="D86" s="22"/>
      <c r="E86" s="22"/>
      <c r="F86" s="22"/>
      <c r="G86" s="22"/>
      <c r="H86" s="22"/>
      <c r="I86" s="22"/>
      <c r="J86" s="22"/>
      <c r="K86" s="17">
        <f>SUM(Table1[[#This Row],[Challenge 1]:[Challenge 50]])</f>
        <v>0</v>
      </c>
      <c r="L86" s="88">
        <f>SUM(Table1[[#This Row],[Club 1]:[Club 50]])</f>
        <v>0</v>
      </c>
      <c r="M86" s="88">
        <f>SUM(Table1[[#This Row],[Intra-school sports 1]:[Intra-school sports 50]])</f>
        <v>0</v>
      </c>
      <c r="N86" s="88">
        <f>SUM(Table1[[#This Row],[Inter School sports 1]:[Inter School sports 50]])</f>
        <v>0</v>
      </c>
      <c r="O86" s="17">
        <f>COUNTIF(Table1[[#This Row],[Community club (type name of club(s). All clubs will count as ''1'']],"*")</f>
        <v>0</v>
      </c>
      <c r="P86" s="17">
        <f>IF(OR(Table1[[#This Row],[Total Challenges]]&gt;0,Table1[[#This Row],[Total Ex-C Clubs]]&gt;0,Table1[[#This Row],[Total Intra-School Sports]]&gt;0,Table1[[#This Row],[Total Inter-School Sports]]&gt;0,Table1[[#This Row],[Community Clubs]]&gt;0),1,0)</f>
        <v>0</v>
      </c>
      <c r="Q86" s="22"/>
      <c r="R86" s="22"/>
      <c r="S86" s="22"/>
      <c r="T86" s="22"/>
      <c r="U86" s="22"/>
      <c r="V86" s="22"/>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21"/>
    </row>
    <row r="87" spans="1:218" x14ac:dyDescent="0.25">
      <c r="A87" s="22"/>
      <c r="B87" s="22"/>
      <c r="C87" s="22"/>
      <c r="D87" s="22"/>
      <c r="E87" s="22"/>
      <c r="F87" s="22"/>
      <c r="G87" s="22"/>
      <c r="H87" s="22"/>
      <c r="I87" s="22"/>
      <c r="J87" s="22"/>
      <c r="K87" s="17">
        <f>SUM(Table1[[#This Row],[Challenge 1]:[Challenge 50]])</f>
        <v>0</v>
      </c>
      <c r="L87" s="88">
        <f>SUM(Table1[[#This Row],[Club 1]:[Club 50]])</f>
        <v>0</v>
      </c>
      <c r="M87" s="88">
        <f>SUM(Table1[[#This Row],[Intra-school sports 1]:[Intra-school sports 50]])</f>
        <v>0</v>
      </c>
      <c r="N87" s="88">
        <f>SUM(Table1[[#This Row],[Inter School sports 1]:[Inter School sports 50]])</f>
        <v>0</v>
      </c>
      <c r="O87" s="17">
        <f>COUNTIF(Table1[[#This Row],[Community club (type name of club(s). All clubs will count as ''1'']],"*")</f>
        <v>0</v>
      </c>
      <c r="P87" s="17">
        <f>IF(OR(Table1[[#This Row],[Total Challenges]]&gt;0,Table1[[#This Row],[Total Ex-C Clubs]]&gt;0,Table1[[#This Row],[Total Intra-School Sports]]&gt;0,Table1[[#This Row],[Total Inter-School Sports]]&gt;0,Table1[[#This Row],[Community Clubs]]&gt;0),1,0)</f>
        <v>0</v>
      </c>
      <c r="Q87" s="22"/>
      <c r="R87" s="22"/>
      <c r="S87" s="22"/>
      <c r="T87" s="22"/>
      <c r="U87" s="22"/>
      <c r="V87" s="22"/>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21"/>
    </row>
    <row r="88" spans="1:218" x14ac:dyDescent="0.25">
      <c r="A88" s="22"/>
      <c r="B88" s="22"/>
      <c r="C88" s="22"/>
      <c r="D88" s="22"/>
      <c r="E88" s="22"/>
      <c r="F88" s="22"/>
      <c r="G88" s="22"/>
      <c r="H88" s="22"/>
      <c r="I88" s="22"/>
      <c r="J88" s="22"/>
      <c r="K88" s="17">
        <f>SUM(Table1[[#This Row],[Challenge 1]:[Challenge 50]])</f>
        <v>0</v>
      </c>
      <c r="L88" s="88">
        <f>SUM(Table1[[#This Row],[Club 1]:[Club 50]])</f>
        <v>0</v>
      </c>
      <c r="M88" s="88">
        <f>SUM(Table1[[#This Row],[Intra-school sports 1]:[Intra-school sports 50]])</f>
        <v>0</v>
      </c>
      <c r="N88" s="88">
        <f>SUM(Table1[[#This Row],[Inter School sports 1]:[Inter School sports 50]])</f>
        <v>0</v>
      </c>
      <c r="O88" s="17">
        <f>COUNTIF(Table1[[#This Row],[Community club (type name of club(s). All clubs will count as ''1'']],"*")</f>
        <v>0</v>
      </c>
      <c r="P88" s="17">
        <f>IF(OR(Table1[[#This Row],[Total Challenges]]&gt;0,Table1[[#This Row],[Total Ex-C Clubs]]&gt;0,Table1[[#This Row],[Total Intra-School Sports]]&gt;0,Table1[[#This Row],[Total Inter-School Sports]]&gt;0,Table1[[#This Row],[Community Clubs]]&gt;0),1,0)</f>
        <v>0</v>
      </c>
      <c r="Q88" s="22"/>
      <c r="R88" s="22"/>
      <c r="S88" s="22"/>
      <c r="T88" s="22"/>
      <c r="U88" s="22"/>
      <c r="V88" s="22"/>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21"/>
    </row>
    <row r="89" spans="1:218" x14ac:dyDescent="0.25">
      <c r="A89" s="22"/>
      <c r="B89" s="22"/>
      <c r="C89" s="22"/>
      <c r="D89" s="22"/>
      <c r="E89" s="22"/>
      <c r="F89" s="22"/>
      <c r="G89" s="22"/>
      <c r="H89" s="22"/>
      <c r="I89" s="22"/>
      <c r="J89" s="22"/>
      <c r="K89" s="17">
        <f>SUM(Table1[[#This Row],[Challenge 1]:[Challenge 50]])</f>
        <v>0</v>
      </c>
      <c r="L89" s="88">
        <f>SUM(Table1[[#This Row],[Club 1]:[Club 50]])</f>
        <v>0</v>
      </c>
      <c r="M89" s="88">
        <f>SUM(Table1[[#This Row],[Intra-school sports 1]:[Intra-school sports 50]])</f>
        <v>0</v>
      </c>
      <c r="N89" s="88">
        <f>SUM(Table1[[#This Row],[Inter School sports 1]:[Inter School sports 50]])</f>
        <v>0</v>
      </c>
      <c r="O89" s="17">
        <f>COUNTIF(Table1[[#This Row],[Community club (type name of club(s). All clubs will count as ''1'']],"*")</f>
        <v>0</v>
      </c>
      <c r="P89" s="17">
        <f>IF(OR(Table1[[#This Row],[Total Challenges]]&gt;0,Table1[[#This Row],[Total Ex-C Clubs]]&gt;0,Table1[[#This Row],[Total Intra-School Sports]]&gt;0,Table1[[#This Row],[Total Inter-School Sports]]&gt;0,Table1[[#This Row],[Community Clubs]]&gt;0),1,0)</f>
        <v>0</v>
      </c>
      <c r="Q89" s="22"/>
      <c r="R89" s="22"/>
      <c r="S89" s="22"/>
      <c r="T89" s="22"/>
      <c r="U89" s="22"/>
      <c r="V89" s="22"/>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21"/>
    </row>
    <row r="90" spans="1:218" x14ac:dyDescent="0.25">
      <c r="A90" s="22"/>
      <c r="B90" s="22"/>
      <c r="C90" s="22"/>
      <c r="D90" s="22"/>
      <c r="E90" s="22"/>
      <c r="F90" s="22"/>
      <c r="G90" s="22"/>
      <c r="H90" s="22"/>
      <c r="I90" s="22"/>
      <c r="J90" s="22"/>
      <c r="K90" s="17">
        <f>SUM(Table1[[#This Row],[Challenge 1]:[Challenge 50]])</f>
        <v>0</v>
      </c>
      <c r="L90" s="88">
        <f>SUM(Table1[[#This Row],[Club 1]:[Club 50]])</f>
        <v>0</v>
      </c>
      <c r="M90" s="88">
        <f>SUM(Table1[[#This Row],[Intra-school sports 1]:[Intra-school sports 50]])</f>
        <v>0</v>
      </c>
      <c r="N90" s="88">
        <f>SUM(Table1[[#This Row],[Inter School sports 1]:[Inter School sports 50]])</f>
        <v>0</v>
      </c>
      <c r="O90" s="17">
        <f>COUNTIF(Table1[[#This Row],[Community club (type name of club(s). All clubs will count as ''1'']],"*")</f>
        <v>0</v>
      </c>
      <c r="P90" s="17">
        <f>IF(OR(Table1[[#This Row],[Total Challenges]]&gt;0,Table1[[#This Row],[Total Ex-C Clubs]]&gt;0,Table1[[#This Row],[Total Intra-School Sports]]&gt;0,Table1[[#This Row],[Total Inter-School Sports]]&gt;0,Table1[[#This Row],[Community Clubs]]&gt;0),1,0)</f>
        <v>0</v>
      </c>
      <c r="Q90" s="22"/>
      <c r="R90" s="22"/>
      <c r="S90" s="22"/>
      <c r="T90" s="22"/>
      <c r="U90" s="22"/>
      <c r="V90" s="22"/>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21"/>
    </row>
    <row r="91" spans="1:218" x14ac:dyDescent="0.25">
      <c r="A91" s="22"/>
      <c r="B91" s="22"/>
      <c r="C91" s="22"/>
      <c r="D91" s="22"/>
      <c r="E91" s="22"/>
      <c r="F91" s="22"/>
      <c r="G91" s="22"/>
      <c r="H91" s="22"/>
      <c r="I91" s="22"/>
      <c r="J91" s="22"/>
      <c r="K91" s="17">
        <f>SUM(Table1[[#This Row],[Challenge 1]:[Challenge 50]])</f>
        <v>0</v>
      </c>
      <c r="L91" s="88">
        <f>SUM(Table1[[#This Row],[Club 1]:[Club 50]])</f>
        <v>0</v>
      </c>
      <c r="M91" s="88">
        <f>SUM(Table1[[#This Row],[Intra-school sports 1]:[Intra-school sports 50]])</f>
        <v>0</v>
      </c>
      <c r="N91" s="88">
        <f>SUM(Table1[[#This Row],[Inter School sports 1]:[Inter School sports 50]])</f>
        <v>0</v>
      </c>
      <c r="O91" s="17">
        <f>COUNTIF(Table1[[#This Row],[Community club (type name of club(s). All clubs will count as ''1'']],"*")</f>
        <v>0</v>
      </c>
      <c r="P91" s="17">
        <f>IF(OR(Table1[[#This Row],[Total Challenges]]&gt;0,Table1[[#This Row],[Total Ex-C Clubs]]&gt;0,Table1[[#This Row],[Total Intra-School Sports]]&gt;0,Table1[[#This Row],[Total Inter-School Sports]]&gt;0,Table1[[#This Row],[Community Clubs]]&gt;0),1,0)</f>
        <v>0</v>
      </c>
      <c r="Q91" s="22"/>
      <c r="R91" s="22"/>
      <c r="S91" s="22"/>
      <c r="T91" s="22"/>
      <c r="U91" s="22"/>
      <c r="V91" s="22"/>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21"/>
    </row>
    <row r="92" spans="1:218" x14ac:dyDescent="0.25">
      <c r="A92" s="17"/>
      <c r="B92" s="17"/>
      <c r="C92" s="17"/>
      <c r="D92" s="17"/>
      <c r="E92" s="17"/>
      <c r="F92" s="17"/>
      <c r="G92" s="17"/>
      <c r="H92" s="17"/>
      <c r="I92" s="17"/>
      <c r="J92" s="17"/>
      <c r="K92" s="17">
        <f>SUM(Table1[[#This Row],[Challenge 1]:[Challenge 50]])</f>
        <v>0</v>
      </c>
      <c r="L92" s="88">
        <f>SUM(Table1[[#This Row],[Club 1]:[Club 50]])</f>
        <v>0</v>
      </c>
      <c r="M92" s="88">
        <f>SUM(Table1[[#This Row],[Intra-school sports 1]:[Intra-school sports 50]])</f>
        <v>0</v>
      </c>
      <c r="N92" s="88">
        <f>SUM(Table1[[#This Row],[Inter School sports 1]:[Inter School sports 50]])</f>
        <v>0</v>
      </c>
      <c r="O92" s="17">
        <f>COUNTIF(Table1[[#This Row],[Community club (type name of club(s). All clubs will count as ''1'']],"*")</f>
        <v>0</v>
      </c>
      <c r="P92" s="17">
        <f>IF(OR(Table1[[#This Row],[Total Challenges]]&gt;0,Table1[[#This Row],[Total Ex-C Clubs]]&gt;0,Table1[[#This Row],[Total Intra-School Sports]]&gt;0,Table1[[#This Row],[Total Inter-School Sports]]&gt;0,Table1[[#This Row],[Community Clubs]]&gt;0),1,0)</f>
        <v>0</v>
      </c>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21"/>
    </row>
    <row r="93" spans="1:218" x14ac:dyDescent="0.25">
      <c r="A93" s="17"/>
      <c r="B93" s="17"/>
      <c r="C93" s="17"/>
      <c r="D93" s="17"/>
      <c r="E93" s="17"/>
      <c r="F93" s="17"/>
      <c r="G93" s="17"/>
      <c r="H93" s="17"/>
      <c r="I93" s="17"/>
      <c r="J93" s="17"/>
      <c r="K93" s="17">
        <f>SUM(Table1[[#This Row],[Challenge 1]:[Challenge 50]])</f>
        <v>0</v>
      </c>
      <c r="L93" s="88">
        <f>SUM(Table1[[#This Row],[Club 1]:[Club 50]])</f>
        <v>0</v>
      </c>
      <c r="M93" s="88">
        <f>SUM(Table1[[#This Row],[Intra-school sports 1]:[Intra-school sports 50]])</f>
        <v>0</v>
      </c>
      <c r="N93" s="88">
        <f>SUM(Table1[[#This Row],[Inter School sports 1]:[Inter School sports 50]])</f>
        <v>0</v>
      </c>
      <c r="O93" s="17">
        <f>COUNTIF(Table1[[#This Row],[Community club (type name of club(s). All clubs will count as ''1'']],"*")</f>
        <v>0</v>
      </c>
      <c r="P93" s="17">
        <f>IF(OR(Table1[[#This Row],[Total Challenges]]&gt;0,Table1[[#This Row],[Total Ex-C Clubs]]&gt;0,Table1[[#This Row],[Total Intra-School Sports]]&gt;0,Table1[[#This Row],[Total Inter-School Sports]]&gt;0,Table1[[#This Row],[Community Clubs]]&gt;0),1,0)</f>
        <v>0</v>
      </c>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21"/>
    </row>
    <row r="94" spans="1:218" x14ac:dyDescent="0.25">
      <c r="A94" s="17"/>
      <c r="B94" s="17"/>
      <c r="C94" s="17"/>
      <c r="D94" s="17"/>
      <c r="E94" s="17"/>
      <c r="F94" s="17"/>
      <c r="G94" s="17"/>
      <c r="H94" s="17"/>
      <c r="I94" s="17"/>
      <c r="J94" s="17"/>
      <c r="K94" s="17">
        <f>SUM(Table1[[#This Row],[Challenge 1]:[Challenge 50]])</f>
        <v>0</v>
      </c>
      <c r="L94" s="88">
        <f>SUM(Table1[[#This Row],[Club 1]:[Club 50]])</f>
        <v>0</v>
      </c>
      <c r="M94" s="88">
        <f>SUM(Table1[[#This Row],[Intra-school sports 1]:[Intra-school sports 50]])</f>
        <v>0</v>
      </c>
      <c r="N94" s="88">
        <f>SUM(Table1[[#This Row],[Inter School sports 1]:[Inter School sports 50]])</f>
        <v>0</v>
      </c>
      <c r="O94" s="17">
        <f>COUNTIF(Table1[[#This Row],[Community club (type name of club(s). All clubs will count as ''1'']],"*")</f>
        <v>0</v>
      </c>
      <c r="P94" s="17">
        <f>IF(OR(Table1[[#This Row],[Total Challenges]]&gt;0,Table1[[#This Row],[Total Ex-C Clubs]]&gt;0,Table1[[#This Row],[Total Intra-School Sports]]&gt;0,Table1[[#This Row],[Total Inter-School Sports]]&gt;0,Table1[[#This Row],[Community Clubs]]&gt;0),1,0)</f>
        <v>0</v>
      </c>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21"/>
    </row>
    <row r="95" spans="1:218" x14ac:dyDescent="0.25">
      <c r="A95" s="17"/>
      <c r="B95" s="17"/>
      <c r="C95" s="17"/>
      <c r="D95" s="17"/>
      <c r="E95" s="17"/>
      <c r="F95" s="17"/>
      <c r="G95" s="17"/>
      <c r="H95" s="17"/>
      <c r="I95" s="17"/>
      <c r="J95" s="17"/>
      <c r="K95" s="17">
        <f>SUM(Table1[[#This Row],[Challenge 1]:[Challenge 50]])</f>
        <v>0</v>
      </c>
      <c r="L95" s="88">
        <f>SUM(Table1[[#This Row],[Club 1]:[Club 50]])</f>
        <v>0</v>
      </c>
      <c r="M95" s="88">
        <f>SUM(Table1[[#This Row],[Intra-school sports 1]:[Intra-school sports 50]])</f>
        <v>0</v>
      </c>
      <c r="N95" s="88">
        <f>SUM(Table1[[#This Row],[Inter School sports 1]:[Inter School sports 50]])</f>
        <v>0</v>
      </c>
      <c r="O95" s="17">
        <f>COUNTIF(Table1[[#This Row],[Community club (type name of club(s). All clubs will count as ''1'']],"*")</f>
        <v>0</v>
      </c>
      <c r="P95" s="17">
        <f>IF(OR(Table1[[#This Row],[Total Challenges]]&gt;0,Table1[[#This Row],[Total Ex-C Clubs]]&gt;0,Table1[[#This Row],[Total Intra-School Sports]]&gt;0,Table1[[#This Row],[Total Inter-School Sports]]&gt;0,Table1[[#This Row],[Community Clubs]]&gt;0),1,0)</f>
        <v>0</v>
      </c>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21"/>
    </row>
    <row r="96" spans="1:218" x14ac:dyDescent="0.25">
      <c r="A96" s="17"/>
      <c r="B96" s="17"/>
      <c r="C96" s="17"/>
      <c r="D96" s="17"/>
      <c r="E96" s="17"/>
      <c r="F96" s="17"/>
      <c r="G96" s="17"/>
      <c r="H96" s="17"/>
      <c r="I96" s="17"/>
      <c r="J96" s="17"/>
      <c r="K96" s="17">
        <f>SUM(Table1[[#This Row],[Challenge 1]:[Challenge 50]])</f>
        <v>0</v>
      </c>
      <c r="L96" s="88">
        <f>SUM(Table1[[#This Row],[Club 1]:[Club 50]])</f>
        <v>0</v>
      </c>
      <c r="M96" s="88">
        <f>SUM(Table1[[#This Row],[Intra-school sports 1]:[Intra-school sports 50]])</f>
        <v>0</v>
      </c>
      <c r="N96" s="88">
        <f>SUM(Table1[[#This Row],[Inter School sports 1]:[Inter School sports 50]])</f>
        <v>0</v>
      </c>
      <c r="O96" s="17">
        <f>COUNTIF(Table1[[#This Row],[Community club (type name of club(s). All clubs will count as ''1'']],"*")</f>
        <v>0</v>
      </c>
      <c r="P96" s="17">
        <f>IF(OR(Table1[[#This Row],[Total Challenges]]&gt;0,Table1[[#This Row],[Total Ex-C Clubs]]&gt;0,Table1[[#This Row],[Total Intra-School Sports]]&gt;0,Table1[[#This Row],[Total Inter-School Sports]]&gt;0,Table1[[#This Row],[Community Clubs]]&gt;0),1,0)</f>
        <v>0</v>
      </c>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21"/>
    </row>
    <row r="97" spans="1:218" x14ac:dyDescent="0.25">
      <c r="A97" s="17"/>
      <c r="B97" s="17"/>
      <c r="C97" s="17"/>
      <c r="D97" s="17"/>
      <c r="E97" s="17"/>
      <c r="F97" s="17"/>
      <c r="G97" s="17"/>
      <c r="H97" s="17"/>
      <c r="I97" s="17"/>
      <c r="J97" s="17"/>
      <c r="K97" s="17">
        <f>SUM(Table1[[#This Row],[Challenge 1]:[Challenge 50]])</f>
        <v>0</v>
      </c>
      <c r="L97" s="88">
        <f>SUM(Table1[[#This Row],[Club 1]:[Club 50]])</f>
        <v>0</v>
      </c>
      <c r="M97" s="88">
        <f>SUM(Table1[[#This Row],[Intra-school sports 1]:[Intra-school sports 50]])</f>
        <v>0</v>
      </c>
      <c r="N97" s="88">
        <f>SUM(Table1[[#This Row],[Inter School sports 1]:[Inter School sports 50]])</f>
        <v>0</v>
      </c>
      <c r="O97" s="17">
        <f>COUNTIF(Table1[[#This Row],[Community club (type name of club(s). All clubs will count as ''1'']],"*")</f>
        <v>0</v>
      </c>
      <c r="P97" s="17">
        <f>IF(OR(Table1[[#This Row],[Total Challenges]]&gt;0,Table1[[#This Row],[Total Ex-C Clubs]]&gt;0,Table1[[#This Row],[Total Intra-School Sports]]&gt;0,Table1[[#This Row],[Total Inter-School Sports]]&gt;0,Table1[[#This Row],[Community Clubs]]&gt;0),1,0)</f>
        <v>0</v>
      </c>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21"/>
    </row>
    <row r="98" spans="1:218" x14ac:dyDescent="0.25">
      <c r="A98" s="17"/>
      <c r="B98" s="17"/>
      <c r="C98" s="17"/>
      <c r="D98" s="17"/>
      <c r="E98" s="17"/>
      <c r="F98" s="17"/>
      <c r="G98" s="17"/>
      <c r="H98" s="17"/>
      <c r="I98" s="17"/>
      <c r="J98" s="17"/>
      <c r="K98" s="17">
        <f>SUM(Table1[[#This Row],[Challenge 1]:[Challenge 50]])</f>
        <v>0</v>
      </c>
      <c r="L98" s="88">
        <f>SUM(Table1[[#This Row],[Club 1]:[Club 50]])</f>
        <v>0</v>
      </c>
      <c r="M98" s="88">
        <f>SUM(Table1[[#This Row],[Intra-school sports 1]:[Intra-school sports 50]])</f>
        <v>0</v>
      </c>
      <c r="N98" s="88">
        <f>SUM(Table1[[#This Row],[Inter School sports 1]:[Inter School sports 50]])</f>
        <v>0</v>
      </c>
      <c r="O98" s="17">
        <f>COUNTIF(Table1[[#This Row],[Community club (type name of club(s). All clubs will count as ''1'']],"*")</f>
        <v>0</v>
      </c>
      <c r="P98" s="17">
        <f>IF(OR(Table1[[#This Row],[Total Challenges]]&gt;0,Table1[[#This Row],[Total Ex-C Clubs]]&gt;0,Table1[[#This Row],[Total Intra-School Sports]]&gt;0,Table1[[#This Row],[Total Inter-School Sports]]&gt;0,Table1[[#This Row],[Community Clubs]]&gt;0),1,0)</f>
        <v>0</v>
      </c>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21"/>
    </row>
    <row r="99" spans="1:218" x14ac:dyDescent="0.25">
      <c r="A99" s="17"/>
      <c r="B99" s="17"/>
      <c r="C99" s="17"/>
      <c r="D99" s="17"/>
      <c r="E99" s="17"/>
      <c r="F99" s="17"/>
      <c r="G99" s="17"/>
      <c r="H99" s="17"/>
      <c r="I99" s="17"/>
      <c r="J99" s="17"/>
      <c r="K99" s="17">
        <f>SUM(Table1[[#This Row],[Challenge 1]:[Challenge 50]])</f>
        <v>0</v>
      </c>
      <c r="L99" s="88">
        <f>SUM(Table1[[#This Row],[Club 1]:[Club 50]])</f>
        <v>0</v>
      </c>
      <c r="M99" s="88">
        <f>SUM(Table1[[#This Row],[Intra-school sports 1]:[Intra-school sports 50]])</f>
        <v>0</v>
      </c>
      <c r="N99" s="88">
        <f>SUM(Table1[[#This Row],[Inter School sports 1]:[Inter School sports 50]])</f>
        <v>0</v>
      </c>
      <c r="O99" s="17">
        <f>COUNTIF(Table1[[#This Row],[Community club (type name of club(s). All clubs will count as ''1'']],"*")</f>
        <v>0</v>
      </c>
      <c r="P99" s="17">
        <f>IF(OR(Table1[[#This Row],[Total Challenges]]&gt;0,Table1[[#This Row],[Total Ex-C Clubs]]&gt;0,Table1[[#This Row],[Total Intra-School Sports]]&gt;0,Table1[[#This Row],[Total Inter-School Sports]]&gt;0,Table1[[#This Row],[Community Clubs]]&gt;0),1,0)</f>
        <v>0</v>
      </c>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21"/>
    </row>
    <row r="100" spans="1:218" x14ac:dyDescent="0.25">
      <c r="A100" s="17"/>
      <c r="B100" s="17"/>
      <c r="C100" s="17"/>
      <c r="D100" s="17"/>
      <c r="E100" s="17"/>
      <c r="F100" s="17"/>
      <c r="G100" s="17"/>
      <c r="H100" s="17"/>
      <c r="I100" s="17"/>
      <c r="J100" s="17"/>
      <c r="K100" s="17">
        <f>SUM(Table1[[#This Row],[Challenge 1]:[Challenge 50]])</f>
        <v>0</v>
      </c>
      <c r="L100" s="88">
        <f>SUM(Table1[[#This Row],[Club 1]:[Club 50]])</f>
        <v>0</v>
      </c>
      <c r="M100" s="88">
        <f>SUM(Table1[[#This Row],[Intra-school sports 1]:[Intra-school sports 50]])</f>
        <v>0</v>
      </c>
      <c r="N100" s="88">
        <f>SUM(Table1[[#This Row],[Inter School sports 1]:[Inter School sports 50]])</f>
        <v>0</v>
      </c>
      <c r="O100" s="17">
        <f>COUNTIF(Table1[[#This Row],[Community club (type name of club(s). All clubs will count as ''1'']],"*")</f>
        <v>0</v>
      </c>
      <c r="P100" s="17">
        <f>IF(OR(Table1[[#This Row],[Total Challenges]]&gt;0,Table1[[#This Row],[Total Ex-C Clubs]]&gt;0,Table1[[#This Row],[Total Intra-School Sports]]&gt;0,Table1[[#This Row],[Total Inter-School Sports]]&gt;0,Table1[[#This Row],[Community Clubs]]&gt;0),1,0)</f>
        <v>0</v>
      </c>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21"/>
    </row>
    <row r="101" spans="1:218" x14ac:dyDescent="0.25">
      <c r="A101" s="17"/>
      <c r="B101" s="17"/>
      <c r="C101" s="17"/>
      <c r="D101" s="17"/>
      <c r="E101" s="17"/>
      <c r="F101" s="17"/>
      <c r="G101" s="17"/>
      <c r="H101" s="17"/>
      <c r="I101" s="17"/>
      <c r="J101" s="17"/>
      <c r="K101" s="17">
        <f>SUM(Table1[[#This Row],[Challenge 1]:[Challenge 50]])</f>
        <v>0</v>
      </c>
      <c r="L101" s="88">
        <f>SUM(Table1[[#This Row],[Club 1]:[Club 50]])</f>
        <v>0</v>
      </c>
      <c r="M101" s="88">
        <f>SUM(Table1[[#This Row],[Intra-school sports 1]:[Intra-school sports 50]])</f>
        <v>0</v>
      </c>
      <c r="N101" s="88">
        <f>SUM(Table1[[#This Row],[Inter School sports 1]:[Inter School sports 50]])</f>
        <v>0</v>
      </c>
      <c r="O101" s="17">
        <f>COUNTIF(Table1[[#This Row],[Community club (type name of club(s). All clubs will count as ''1'']],"*")</f>
        <v>0</v>
      </c>
      <c r="P101" s="17">
        <f>IF(OR(Table1[[#This Row],[Total Challenges]]&gt;0,Table1[[#This Row],[Total Ex-C Clubs]]&gt;0,Table1[[#This Row],[Total Intra-School Sports]]&gt;0,Table1[[#This Row],[Total Inter-School Sports]]&gt;0,Table1[[#This Row],[Community Clubs]]&gt;0),1,0)</f>
        <v>0</v>
      </c>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21"/>
    </row>
    <row r="102" spans="1:218" x14ac:dyDescent="0.25">
      <c r="A102" s="17"/>
      <c r="B102" s="17"/>
      <c r="C102" s="17"/>
      <c r="D102" s="17"/>
      <c r="E102" s="17"/>
      <c r="F102" s="17"/>
      <c r="G102" s="17"/>
      <c r="H102" s="17"/>
      <c r="I102" s="17"/>
      <c r="J102" s="17"/>
      <c r="K102" s="17">
        <f>SUM(Table1[[#This Row],[Challenge 1]:[Challenge 50]])</f>
        <v>0</v>
      </c>
      <c r="L102" s="88">
        <f>SUM(Table1[[#This Row],[Club 1]:[Club 50]])</f>
        <v>0</v>
      </c>
      <c r="M102" s="88">
        <f>SUM(Table1[[#This Row],[Intra-school sports 1]:[Intra-school sports 50]])</f>
        <v>0</v>
      </c>
      <c r="N102" s="88">
        <f>SUM(Table1[[#This Row],[Inter School sports 1]:[Inter School sports 50]])</f>
        <v>0</v>
      </c>
      <c r="O102" s="17">
        <f>COUNTIF(Table1[[#This Row],[Community club (type name of club(s). All clubs will count as ''1'']],"*")</f>
        <v>0</v>
      </c>
      <c r="P102" s="17">
        <f>IF(OR(Table1[[#This Row],[Total Challenges]]&gt;0,Table1[[#This Row],[Total Ex-C Clubs]]&gt;0,Table1[[#This Row],[Total Intra-School Sports]]&gt;0,Table1[[#This Row],[Total Inter-School Sports]]&gt;0,Table1[[#This Row],[Community Clubs]]&gt;0),1,0)</f>
        <v>0</v>
      </c>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21"/>
    </row>
    <row r="103" spans="1:218" x14ac:dyDescent="0.25">
      <c r="A103" s="17"/>
      <c r="B103" s="17"/>
      <c r="C103" s="17"/>
      <c r="D103" s="17"/>
      <c r="E103" s="17"/>
      <c r="F103" s="17"/>
      <c r="G103" s="17"/>
      <c r="H103" s="17"/>
      <c r="I103" s="17"/>
      <c r="J103" s="17"/>
      <c r="K103" s="17">
        <f>SUM(Table1[[#This Row],[Challenge 1]:[Challenge 50]])</f>
        <v>0</v>
      </c>
      <c r="L103" s="88">
        <f>SUM(Table1[[#This Row],[Club 1]:[Club 50]])</f>
        <v>0</v>
      </c>
      <c r="M103" s="88">
        <f>SUM(Table1[[#This Row],[Intra-school sports 1]:[Intra-school sports 50]])</f>
        <v>0</v>
      </c>
      <c r="N103" s="88">
        <f>SUM(Table1[[#This Row],[Inter School sports 1]:[Inter School sports 50]])</f>
        <v>0</v>
      </c>
      <c r="O103" s="17">
        <f>COUNTIF(Table1[[#This Row],[Community club (type name of club(s). All clubs will count as ''1'']],"*")</f>
        <v>0</v>
      </c>
      <c r="P103" s="17">
        <f>IF(OR(Table1[[#This Row],[Total Challenges]]&gt;0,Table1[[#This Row],[Total Ex-C Clubs]]&gt;0,Table1[[#This Row],[Total Intra-School Sports]]&gt;0,Table1[[#This Row],[Total Inter-School Sports]]&gt;0,Table1[[#This Row],[Community Clubs]]&gt;0),1,0)</f>
        <v>0</v>
      </c>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21"/>
    </row>
    <row r="104" spans="1:218" x14ac:dyDescent="0.25">
      <c r="A104" s="17"/>
      <c r="B104" s="17"/>
      <c r="C104" s="17"/>
      <c r="D104" s="17"/>
      <c r="E104" s="17"/>
      <c r="F104" s="17"/>
      <c r="G104" s="17"/>
      <c r="H104" s="17"/>
      <c r="I104" s="17"/>
      <c r="J104" s="17"/>
      <c r="K104" s="17">
        <f>SUM(Table1[[#This Row],[Challenge 1]:[Challenge 50]])</f>
        <v>0</v>
      </c>
      <c r="L104" s="88">
        <f>SUM(Table1[[#This Row],[Club 1]:[Club 50]])</f>
        <v>0</v>
      </c>
      <c r="M104" s="88">
        <f>SUM(Table1[[#This Row],[Intra-school sports 1]:[Intra-school sports 50]])</f>
        <v>0</v>
      </c>
      <c r="N104" s="88">
        <f>SUM(Table1[[#This Row],[Inter School sports 1]:[Inter School sports 50]])</f>
        <v>0</v>
      </c>
      <c r="O104" s="17">
        <f>COUNTIF(Table1[[#This Row],[Community club (type name of club(s). All clubs will count as ''1'']],"*")</f>
        <v>0</v>
      </c>
      <c r="P104" s="17">
        <f>IF(OR(Table1[[#This Row],[Total Challenges]]&gt;0,Table1[[#This Row],[Total Ex-C Clubs]]&gt;0,Table1[[#This Row],[Total Intra-School Sports]]&gt;0,Table1[[#This Row],[Total Inter-School Sports]]&gt;0,Table1[[#This Row],[Community Clubs]]&gt;0),1,0)</f>
        <v>0</v>
      </c>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21"/>
    </row>
    <row r="105" spans="1:218" x14ac:dyDescent="0.25">
      <c r="A105" s="17"/>
      <c r="B105" s="17"/>
      <c r="C105" s="17"/>
      <c r="D105" s="17"/>
      <c r="E105" s="17"/>
      <c r="F105" s="17"/>
      <c r="G105" s="17"/>
      <c r="H105" s="17"/>
      <c r="I105" s="17"/>
      <c r="J105" s="17"/>
      <c r="K105" s="17">
        <f>SUM(Table1[[#This Row],[Challenge 1]:[Challenge 50]])</f>
        <v>0</v>
      </c>
      <c r="L105" s="88">
        <f>SUM(Table1[[#This Row],[Club 1]:[Club 50]])</f>
        <v>0</v>
      </c>
      <c r="M105" s="88">
        <f>SUM(Table1[[#This Row],[Intra-school sports 1]:[Intra-school sports 50]])</f>
        <v>0</v>
      </c>
      <c r="N105" s="88">
        <f>SUM(Table1[[#This Row],[Inter School sports 1]:[Inter School sports 50]])</f>
        <v>0</v>
      </c>
      <c r="O105" s="17">
        <f>COUNTIF(Table1[[#This Row],[Community club (type name of club(s). All clubs will count as ''1'']],"*")</f>
        <v>0</v>
      </c>
      <c r="P105" s="17">
        <f>IF(OR(Table1[[#This Row],[Total Challenges]]&gt;0,Table1[[#This Row],[Total Ex-C Clubs]]&gt;0,Table1[[#This Row],[Total Intra-School Sports]]&gt;0,Table1[[#This Row],[Total Inter-School Sports]]&gt;0,Table1[[#This Row],[Community Clubs]]&gt;0),1,0)</f>
        <v>0</v>
      </c>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21"/>
    </row>
    <row r="106" spans="1:218" x14ac:dyDescent="0.25">
      <c r="A106" s="17"/>
      <c r="B106" s="17"/>
      <c r="C106" s="17"/>
      <c r="D106" s="17"/>
      <c r="E106" s="17"/>
      <c r="F106" s="17"/>
      <c r="G106" s="17"/>
      <c r="H106" s="17"/>
      <c r="I106" s="17"/>
      <c r="J106" s="17"/>
      <c r="K106" s="17">
        <f>SUM(Table1[[#This Row],[Challenge 1]:[Challenge 50]])</f>
        <v>0</v>
      </c>
      <c r="L106" s="88">
        <f>SUM(Table1[[#This Row],[Club 1]:[Club 50]])</f>
        <v>0</v>
      </c>
      <c r="M106" s="88">
        <f>SUM(Table1[[#This Row],[Intra-school sports 1]:[Intra-school sports 50]])</f>
        <v>0</v>
      </c>
      <c r="N106" s="88">
        <f>SUM(Table1[[#This Row],[Inter School sports 1]:[Inter School sports 50]])</f>
        <v>0</v>
      </c>
      <c r="O106" s="17">
        <f>COUNTIF(Table1[[#This Row],[Community club (type name of club(s). All clubs will count as ''1'']],"*")</f>
        <v>0</v>
      </c>
      <c r="P106" s="17">
        <f>IF(OR(Table1[[#This Row],[Total Challenges]]&gt;0,Table1[[#This Row],[Total Ex-C Clubs]]&gt;0,Table1[[#This Row],[Total Intra-School Sports]]&gt;0,Table1[[#This Row],[Total Inter-School Sports]]&gt;0,Table1[[#This Row],[Community Clubs]]&gt;0),1,0)</f>
        <v>0</v>
      </c>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21"/>
    </row>
    <row r="107" spans="1:218" x14ac:dyDescent="0.25">
      <c r="A107" s="17"/>
      <c r="B107" s="17"/>
      <c r="C107" s="17"/>
      <c r="D107" s="17"/>
      <c r="E107" s="17"/>
      <c r="F107" s="17"/>
      <c r="G107" s="17"/>
      <c r="H107" s="17"/>
      <c r="I107" s="17"/>
      <c r="J107" s="17"/>
      <c r="K107" s="17">
        <f>SUM(Table1[[#This Row],[Challenge 1]:[Challenge 50]])</f>
        <v>0</v>
      </c>
      <c r="L107" s="88">
        <f>SUM(Table1[[#This Row],[Club 1]:[Club 50]])</f>
        <v>0</v>
      </c>
      <c r="M107" s="88">
        <f>SUM(Table1[[#This Row],[Intra-school sports 1]:[Intra-school sports 50]])</f>
        <v>0</v>
      </c>
      <c r="N107" s="88">
        <f>SUM(Table1[[#This Row],[Inter School sports 1]:[Inter School sports 50]])</f>
        <v>0</v>
      </c>
      <c r="O107" s="17">
        <f>COUNTIF(Table1[[#This Row],[Community club (type name of club(s). All clubs will count as ''1'']],"*")</f>
        <v>0</v>
      </c>
      <c r="P107" s="17">
        <f>IF(OR(Table1[[#This Row],[Total Challenges]]&gt;0,Table1[[#This Row],[Total Ex-C Clubs]]&gt;0,Table1[[#This Row],[Total Intra-School Sports]]&gt;0,Table1[[#This Row],[Total Inter-School Sports]]&gt;0,Table1[[#This Row],[Community Clubs]]&gt;0),1,0)</f>
        <v>0</v>
      </c>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21"/>
    </row>
    <row r="108" spans="1:218" x14ac:dyDescent="0.25">
      <c r="A108" s="17"/>
      <c r="B108" s="17"/>
      <c r="C108" s="17"/>
      <c r="D108" s="17"/>
      <c r="E108" s="17"/>
      <c r="F108" s="17"/>
      <c r="G108" s="17"/>
      <c r="H108" s="17"/>
      <c r="I108" s="17"/>
      <c r="J108" s="17"/>
      <c r="K108" s="17">
        <f>SUM(Table1[[#This Row],[Challenge 1]:[Challenge 50]])</f>
        <v>0</v>
      </c>
      <c r="L108" s="88">
        <f>SUM(Table1[[#This Row],[Club 1]:[Club 50]])</f>
        <v>0</v>
      </c>
      <c r="M108" s="88">
        <f>SUM(Table1[[#This Row],[Intra-school sports 1]:[Intra-school sports 50]])</f>
        <v>0</v>
      </c>
      <c r="N108" s="88">
        <f>SUM(Table1[[#This Row],[Inter School sports 1]:[Inter School sports 50]])</f>
        <v>0</v>
      </c>
      <c r="O108" s="17">
        <f>COUNTIF(Table1[[#This Row],[Community club (type name of club(s). All clubs will count as ''1'']],"*")</f>
        <v>0</v>
      </c>
      <c r="P108" s="17">
        <f>IF(OR(Table1[[#This Row],[Total Challenges]]&gt;0,Table1[[#This Row],[Total Ex-C Clubs]]&gt;0,Table1[[#This Row],[Total Intra-School Sports]]&gt;0,Table1[[#This Row],[Total Inter-School Sports]]&gt;0,Table1[[#This Row],[Community Clubs]]&gt;0),1,0)</f>
        <v>0</v>
      </c>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21"/>
    </row>
    <row r="109" spans="1:218" x14ac:dyDescent="0.25">
      <c r="A109" s="17"/>
      <c r="B109" s="17"/>
      <c r="C109" s="17"/>
      <c r="D109" s="17"/>
      <c r="E109" s="17"/>
      <c r="F109" s="17"/>
      <c r="G109" s="17"/>
      <c r="H109" s="17"/>
      <c r="I109" s="17"/>
      <c r="J109" s="17"/>
      <c r="K109" s="17">
        <f>SUM(Table1[[#This Row],[Challenge 1]:[Challenge 50]])</f>
        <v>0</v>
      </c>
      <c r="L109" s="88">
        <f>SUM(Table1[[#This Row],[Club 1]:[Club 50]])</f>
        <v>0</v>
      </c>
      <c r="M109" s="88">
        <f>SUM(Table1[[#This Row],[Intra-school sports 1]:[Intra-school sports 50]])</f>
        <v>0</v>
      </c>
      <c r="N109" s="88">
        <f>SUM(Table1[[#This Row],[Inter School sports 1]:[Inter School sports 50]])</f>
        <v>0</v>
      </c>
      <c r="O109" s="17">
        <f>COUNTIF(Table1[[#This Row],[Community club (type name of club(s). All clubs will count as ''1'']],"*")</f>
        <v>0</v>
      </c>
      <c r="P109" s="17">
        <f>IF(OR(Table1[[#This Row],[Total Challenges]]&gt;0,Table1[[#This Row],[Total Ex-C Clubs]]&gt;0,Table1[[#This Row],[Total Intra-School Sports]]&gt;0,Table1[[#This Row],[Total Inter-School Sports]]&gt;0,Table1[[#This Row],[Community Clubs]]&gt;0),1,0)</f>
        <v>0</v>
      </c>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21"/>
    </row>
    <row r="110" spans="1:218" x14ac:dyDescent="0.25">
      <c r="A110" s="17"/>
      <c r="B110" s="17"/>
      <c r="C110" s="17"/>
      <c r="D110" s="17"/>
      <c r="E110" s="17"/>
      <c r="F110" s="17"/>
      <c r="G110" s="17"/>
      <c r="H110" s="17"/>
      <c r="I110" s="17"/>
      <c r="J110" s="17"/>
      <c r="K110" s="17">
        <f>SUM(Table1[[#This Row],[Challenge 1]:[Challenge 50]])</f>
        <v>0</v>
      </c>
      <c r="L110" s="88">
        <f>SUM(Table1[[#This Row],[Club 1]:[Club 50]])</f>
        <v>0</v>
      </c>
      <c r="M110" s="88">
        <f>SUM(Table1[[#This Row],[Intra-school sports 1]:[Intra-school sports 50]])</f>
        <v>0</v>
      </c>
      <c r="N110" s="88">
        <f>SUM(Table1[[#This Row],[Inter School sports 1]:[Inter School sports 50]])</f>
        <v>0</v>
      </c>
      <c r="O110" s="17">
        <f>COUNTIF(Table1[[#This Row],[Community club (type name of club(s). All clubs will count as ''1'']],"*")</f>
        <v>0</v>
      </c>
      <c r="P110" s="17">
        <f>IF(OR(Table1[[#This Row],[Total Challenges]]&gt;0,Table1[[#This Row],[Total Ex-C Clubs]]&gt;0,Table1[[#This Row],[Total Intra-School Sports]]&gt;0,Table1[[#This Row],[Total Inter-School Sports]]&gt;0,Table1[[#This Row],[Community Clubs]]&gt;0),1,0)</f>
        <v>0</v>
      </c>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21"/>
    </row>
    <row r="111" spans="1:218" x14ac:dyDescent="0.25">
      <c r="A111" s="17"/>
      <c r="B111" s="17"/>
      <c r="C111" s="17"/>
      <c r="D111" s="17"/>
      <c r="E111" s="17"/>
      <c r="F111" s="17"/>
      <c r="G111" s="17"/>
      <c r="H111" s="17"/>
      <c r="I111" s="17"/>
      <c r="J111" s="17"/>
      <c r="K111" s="17">
        <f>SUM(Table1[[#This Row],[Challenge 1]:[Challenge 50]])</f>
        <v>0</v>
      </c>
      <c r="L111" s="88">
        <f>SUM(Table1[[#This Row],[Club 1]:[Club 50]])</f>
        <v>0</v>
      </c>
      <c r="M111" s="88">
        <f>SUM(Table1[[#This Row],[Intra-school sports 1]:[Intra-school sports 50]])</f>
        <v>0</v>
      </c>
      <c r="N111" s="88">
        <f>SUM(Table1[[#This Row],[Inter School sports 1]:[Inter School sports 50]])</f>
        <v>0</v>
      </c>
      <c r="O111" s="17">
        <f>COUNTIF(Table1[[#This Row],[Community club (type name of club(s). All clubs will count as ''1'']],"*")</f>
        <v>0</v>
      </c>
      <c r="P111" s="17">
        <f>IF(OR(Table1[[#This Row],[Total Challenges]]&gt;0,Table1[[#This Row],[Total Ex-C Clubs]]&gt;0,Table1[[#This Row],[Total Intra-School Sports]]&gt;0,Table1[[#This Row],[Total Inter-School Sports]]&gt;0,Table1[[#This Row],[Community Clubs]]&gt;0),1,0)</f>
        <v>0</v>
      </c>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21"/>
    </row>
    <row r="112" spans="1:218" x14ac:dyDescent="0.25">
      <c r="A112" s="17"/>
      <c r="B112" s="17"/>
      <c r="C112" s="17"/>
      <c r="D112" s="17"/>
      <c r="E112" s="17"/>
      <c r="F112" s="17"/>
      <c r="G112" s="17"/>
      <c r="H112" s="17"/>
      <c r="I112" s="17"/>
      <c r="J112" s="17"/>
      <c r="K112" s="17">
        <f>SUM(Table1[[#This Row],[Challenge 1]:[Challenge 50]])</f>
        <v>0</v>
      </c>
      <c r="L112" s="88">
        <f>SUM(Table1[[#This Row],[Club 1]:[Club 50]])</f>
        <v>0</v>
      </c>
      <c r="M112" s="88">
        <f>SUM(Table1[[#This Row],[Intra-school sports 1]:[Intra-school sports 50]])</f>
        <v>0</v>
      </c>
      <c r="N112" s="88">
        <f>SUM(Table1[[#This Row],[Inter School sports 1]:[Inter School sports 50]])</f>
        <v>0</v>
      </c>
      <c r="O112" s="17">
        <f>COUNTIF(Table1[[#This Row],[Community club (type name of club(s). All clubs will count as ''1'']],"*")</f>
        <v>0</v>
      </c>
      <c r="P112" s="17">
        <f>IF(OR(Table1[[#This Row],[Total Challenges]]&gt;0,Table1[[#This Row],[Total Ex-C Clubs]]&gt;0,Table1[[#This Row],[Total Intra-School Sports]]&gt;0,Table1[[#This Row],[Total Inter-School Sports]]&gt;0,Table1[[#This Row],[Community Clubs]]&gt;0),1,0)</f>
        <v>0</v>
      </c>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21"/>
    </row>
    <row r="113" spans="1:218" x14ac:dyDescent="0.25">
      <c r="A113" s="17"/>
      <c r="B113" s="17"/>
      <c r="C113" s="17"/>
      <c r="D113" s="17"/>
      <c r="E113" s="17"/>
      <c r="F113" s="17"/>
      <c r="G113" s="17"/>
      <c r="H113" s="17"/>
      <c r="I113" s="17"/>
      <c r="J113" s="17"/>
      <c r="K113" s="17">
        <f>SUM(Table1[[#This Row],[Challenge 1]:[Challenge 50]])</f>
        <v>0</v>
      </c>
      <c r="L113" s="88">
        <f>SUM(Table1[[#This Row],[Club 1]:[Club 50]])</f>
        <v>0</v>
      </c>
      <c r="M113" s="88">
        <f>SUM(Table1[[#This Row],[Intra-school sports 1]:[Intra-school sports 50]])</f>
        <v>0</v>
      </c>
      <c r="N113" s="88">
        <f>SUM(Table1[[#This Row],[Inter School sports 1]:[Inter School sports 50]])</f>
        <v>0</v>
      </c>
      <c r="O113" s="17">
        <f>COUNTIF(Table1[[#This Row],[Community club (type name of club(s). All clubs will count as ''1'']],"*")</f>
        <v>0</v>
      </c>
      <c r="P113" s="17">
        <f>IF(OR(Table1[[#This Row],[Total Challenges]]&gt;0,Table1[[#This Row],[Total Ex-C Clubs]]&gt;0,Table1[[#This Row],[Total Intra-School Sports]]&gt;0,Table1[[#This Row],[Total Inter-School Sports]]&gt;0,Table1[[#This Row],[Community Clubs]]&gt;0),1,0)</f>
        <v>0</v>
      </c>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21"/>
    </row>
    <row r="114" spans="1:218" x14ac:dyDescent="0.25">
      <c r="A114" s="17"/>
      <c r="B114" s="17"/>
      <c r="C114" s="17"/>
      <c r="D114" s="17"/>
      <c r="E114" s="17"/>
      <c r="F114" s="17"/>
      <c r="G114" s="17"/>
      <c r="H114" s="17"/>
      <c r="I114" s="17"/>
      <c r="J114" s="17"/>
      <c r="K114" s="17">
        <f>SUM(Table1[[#This Row],[Challenge 1]:[Challenge 50]])</f>
        <v>0</v>
      </c>
      <c r="L114" s="88">
        <f>SUM(Table1[[#This Row],[Club 1]:[Club 50]])</f>
        <v>0</v>
      </c>
      <c r="M114" s="88">
        <f>SUM(Table1[[#This Row],[Intra-school sports 1]:[Intra-school sports 50]])</f>
        <v>0</v>
      </c>
      <c r="N114" s="88">
        <f>SUM(Table1[[#This Row],[Inter School sports 1]:[Inter School sports 50]])</f>
        <v>0</v>
      </c>
      <c r="O114" s="17">
        <f>COUNTIF(Table1[[#This Row],[Community club (type name of club(s). All clubs will count as ''1'']],"*")</f>
        <v>0</v>
      </c>
      <c r="P114" s="17">
        <f>IF(OR(Table1[[#This Row],[Total Challenges]]&gt;0,Table1[[#This Row],[Total Ex-C Clubs]]&gt;0,Table1[[#This Row],[Total Intra-School Sports]]&gt;0,Table1[[#This Row],[Total Inter-School Sports]]&gt;0,Table1[[#This Row],[Community Clubs]]&gt;0),1,0)</f>
        <v>0</v>
      </c>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21"/>
    </row>
    <row r="115" spans="1:218" x14ac:dyDescent="0.25">
      <c r="A115" s="17"/>
      <c r="B115" s="17"/>
      <c r="C115" s="17"/>
      <c r="D115" s="17"/>
      <c r="E115" s="17"/>
      <c r="F115" s="17"/>
      <c r="G115" s="17"/>
      <c r="H115" s="17"/>
      <c r="I115" s="17"/>
      <c r="J115" s="17"/>
      <c r="K115" s="17">
        <f>SUM(Table1[[#This Row],[Challenge 1]:[Challenge 50]])</f>
        <v>0</v>
      </c>
      <c r="L115" s="88">
        <f>SUM(Table1[[#This Row],[Club 1]:[Club 50]])</f>
        <v>0</v>
      </c>
      <c r="M115" s="88">
        <f>SUM(Table1[[#This Row],[Intra-school sports 1]:[Intra-school sports 50]])</f>
        <v>0</v>
      </c>
      <c r="N115" s="88">
        <f>SUM(Table1[[#This Row],[Inter School sports 1]:[Inter School sports 50]])</f>
        <v>0</v>
      </c>
      <c r="O115" s="17">
        <f>COUNTIF(Table1[[#This Row],[Community club (type name of club(s). All clubs will count as ''1'']],"*")</f>
        <v>0</v>
      </c>
      <c r="P115" s="17">
        <f>IF(OR(Table1[[#This Row],[Total Challenges]]&gt;0,Table1[[#This Row],[Total Ex-C Clubs]]&gt;0,Table1[[#This Row],[Total Intra-School Sports]]&gt;0,Table1[[#This Row],[Total Inter-School Sports]]&gt;0,Table1[[#This Row],[Community Clubs]]&gt;0),1,0)</f>
        <v>0</v>
      </c>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21"/>
    </row>
    <row r="116" spans="1:218" x14ac:dyDescent="0.25">
      <c r="A116" s="17"/>
      <c r="B116" s="17"/>
      <c r="C116" s="17"/>
      <c r="D116" s="17"/>
      <c r="E116" s="17"/>
      <c r="F116" s="17"/>
      <c r="G116" s="17"/>
      <c r="H116" s="17"/>
      <c r="I116" s="17"/>
      <c r="J116" s="17"/>
      <c r="K116" s="17">
        <f>SUM(Table1[[#This Row],[Challenge 1]:[Challenge 50]])</f>
        <v>0</v>
      </c>
      <c r="L116" s="88">
        <f>SUM(Table1[[#This Row],[Club 1]:[Club 50]])</f>
        <v>0</v>
      </c>
      <c r="M116" s="88">
        <f>SUM(Table1[[#This Row],[Intra-school sports 1]:[Intra-school sports 50]])</f>
        <v>0</v>
      </c>
      <c r="N116" s="88">
        <f>SUM(Table1[[#This Row],[Inter School sports 1]:[Inter School sports 50]])</f>
        <v>0</v>
      </c>
      <c r="O116" s="17">
        <f>COUNTIF(Table1[[#This Row],[Community club (type name of club(s). All clubs will count as ''1'']],"*")</f>
        <v>0</v>
      </c>
      <c r="P116" s="17">
        <f>IF(OR(Table1[[#This Row],[Total Challenges]]&gt;0,Table1[[#This Row],[Total Ex-C Clubs]]&gt;0,Table1[[#This Row],[Total Intra-School Sports]]&gt;0,Table1[[#This Row],[Total Inter-School Sports]]&gt;0,Table1[[#This Row],[Community Clubs]]&gt;0),1,0)</f>
        <v>0</v>
      </c>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21"/>
    </row>
    <row r="117" spans="1:218" x14ac:dyDescent="0.25">
      <c r="A117" s="17"/>
      <c r="B117" s="17"/>
      <c r="C117" s="17"/>
      <c r="D117" s="17"/>
      <c r="E117" s="17"/>
      <c r="F117" s="17"/>
      <c r="G117" s="17"/>
      <c r="H117" s="17"/>
      <c r="I117" s="17"/>
      <c r="J117" s="17"/>
      <c r="K117" s="17">
        <f>SUM(Table1[[#This Row],[Challenge 1]:[Challenge 50]])</f>
        <v>0</v>
      </c>
      <c r="L117" s="88">
        <f>SUM(Table1[[#This Row],[Club 1]:[Club 50]])</f>
        <v>0</v>
      </c>
      <c r="M117" s="88">
        <f>SUM(Table1[[#This Row],[Intra-school sports 1]:[Intra-school sports 50]])</f>
        <v>0</v>
      </c>
      <c r="N117" s="88">
        <f>SUM(Table1[[#This Row],[Inter School sports 1]:[Inter School sports 50]])</f>
        <v>0</v>
      </c>
      <c r="O117" s="17">
        <f>COUNTIF(Table1[[#This Row],[Community club (type name of club(s). All clubs will count as ''1'']],"*")</f>
        <v>0</v>
      </c>
      <c r="P117" s="17">
        <f>IF(OR(Table1[[#This Row],[Total Challenges]]&gt;0,Table1[[#This Row],[Total Ex-C Clubs]]&gt;0,Table1[[#This Row],[Total Intra-School Sports]]&gt;0,Table1[[#This Row],[Total Inter-School Sports]]&gt;0,Table1[[#This Row],[Community Clubs]]&gt;0),1,0)</f>
        <v>0</v>
      </c>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21"/>
    </row>
    <row r="118" spans="1:218" x14ac:dyDescent="0.25">
      <c r="A118" s="17"/>
      <c r="B118" s="17"/>
      <c r="C118" s="17"/>
      <c r="D118" s="17"/>
      <c r="E118" s="17"/>
      <c r="F118" s="17"/>
      <c r="G118" s="17"/>
      <c r="H118" s="17"/>
      <c r="I118" s="17"/>
      <c r="J118" s="17"/>
      <c r="K118" s="17">
        <f>SUM(Table1[[#This Row],[Challenge 1]:[Challenge 50]])</f>
        <v>0</v>
      </c>
      <c r="L118" s="88">
        <f>SUM(Table1[[#This Row],[Club 1]:[Club 50]])</f>
        <v>0</v>
      </c>
      <c r="M118" s="88">
        <f>SUM(Table1[[#This Row],[Intra-school sports 1]:[Intra-school sports 50]])</f>
        <v>0</v>
      </c>
      <c r="N118" s="88">
        <f>SUM(Table1[[#This Row],[Inter School sports 1]:[Inter School sports 50]])</f>
        <v>0</v>
      </c>
      <c r="O118" s="17">
        <f>COUNTIF(Table1[[#This Row],[Community club (type name of club(s). All clubs will count as ''1'']],"*")</f>
        <v>0</v>
      </c>
      <c r="P118" s="17">
        <f>IF(OR(Table1[[#This Row],[Total Challenges]]&gt;0,Table1[[#This Row],[Total Ex-C Clubs]]&gt;0,Table1[[#This Row],[Total Intra-School Sports]]&gt;0,Table1[[#This Row],[Total Inter-School Sports]]&gt;0,Table1[[#This Row],[Community Clubs]]&gt;0),1,0)</f>
        <v>0</v>
      </c>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21"/>
    </row>
    <row r="119" spans="1:218" x14ac:dyDescent="0.25">
      <c r="A119" s="17"/>
      <c r="B119" s="17"/>
      <c r="C119" s="17"/>
      <c r="D119" s="17"/>
      <c r="E119" s="17"/>
      <c r="F119" s="17"/>
      <c r="G119" s="17"/>
      <c r="H119" s="17"/>
      <c r="I119" s="17"/>
      <c r="J119" s="17"/>
      <c r="K119" s="17">
        <f>SUM(Table1[[#This Row],[Challenge 1]:[Challenge 50]])</f>
        <v>0</v>
      </c>
      <c r="L119" s="88">
        <f>SUM(Table1[[#This Row],[Club 1]:[Club 50]])</f>
        <v>0</v>
      </c>
      <c r="M119" s="88">
        <f>SUM(Table1[[#This Row],[Intra-school sports 1]:[Intra-school sports 50]])</f>
        <v>0</v>
      </c>
      <c r="N119" s="88">
        <f>SUM(Table1[[#This Row],[Inter School sports 1]:[Inter School sports 50]])</f>
        <v>0</v>
      </c>
      <c r="O119" s="17">
        <f>COUNTIF(Table1[[#This Row],[Community club (type name of club(s). All clubs will count as ''1'']],"*")</f>
        <v>0</v>
      </c>
      <c r="P119" s="17">
        <f>IF(OR(Table1[[#This Row],[Total Challenges]]&gt;0,Table1[[#This Row],[Total Ex-C Clubs]]&gt;0,Table1[[#This Row],[Total Intra-School Sports]]&gt;0,Table1[[#This Row],[Total Inter-School Sports]]&gt;0,Table1[[#This Row],[Community Clubs]]&gt;0),1,0)</f>
        <v>0</v>
      </c>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21"/>
    </row>
    <row r="120" spans="1:218" x14ac:dyDescent="0.25">
      <c r="A120" s="17"/>
      <c r="B120" s="17"/>
      <c r="C120" s="17"/>
      <c r="D120" s="17"/>
      <c r="E120" s="17"/>
      <c r="F120" s="17"/>
      <c r="G120" s="17"/>
      <c r="H120" s="17"/>
      <c r="I120" s="17"/>
      <c r="J120" s="17"/>
      <c r="K120" s="17">
        <f>SUM(Table1[[#This Row],[Challenge 1]:[Challenge 50]])</f>
        <v>0</v>
      </c>
      <c r="L120" s="88">
        <f>SUM(Table1[[#This Row],[Club 1]:[Club 50]])</f>
        <v>0</v>
      </c>
      <c r="M120" s="88">
        <f>SUM(Table1[[#This Row],[Intra-school sports 1]:[Intra-school sports 50]])</f>
        <v>0</v>
      </c>
      <c r="N120" s="88">
        <f>SUM(Table1[[#This Row],[Inter School sports 1]:[Inter School sports 50]])</f>
        <v>0</v>
      </c>
      <c r="O120" s="17">
        <f>COUNTIF(Table1[[#This Row],[Community club (type name of club(s). All clubs will count as ''1'']],"*")</f>
        <v>0</v>
      </c>
      <c r="P120" s="17">
        <f>IF(OR(Table1[[#This Row],[Total Challenges]]&gt;0,Table1[[#This Row],[Total Ex-C Clubs]]&gt;0,Table1[[#This Row],[Total Intra-School Sports]]&gt;0,Table1[[#This Row],[Total Inter-School Sports]]&gt;0,Table1[[#This Row],[Community Clubs]]&gt;0),1,0)</f>
        <v>0</v>
      </c>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21"/>
    </row>
    <row r="121" spans="1:218" x14ac:dyDescent="0.25">
      <c r="A121" s="17"/>
      <c r="B121" s="17"/>
      <c r="C121" s="17"/>
      <c r="D121" s="17"/>
      <c r="E121" s="17"/>
      <c r="F121" s="17"/>
      <c r="G121" s="17"/>
      <c r="H121" s="17"/>
      <c r="I121" s="17"/>
      <c r="J121" s="17"/>
      <c r="K121" s="17">
        <f>SUM(Table1[[#This Row],[Challenge 1]:[Challenge 50]])</f>
        <v>0</v>
      </c>
      <c r="L121" s="88">
        <f>SUM(Table1[[#This Row],[Club 1]:[Club 50]])</f>
        <v>0</v>
      </c>
      <c r="M121" s="88">
        <f>SUM(Table1[[#This Row],[Intra-school sports 1]:[Intra-school sports 50]])</f>
        <v>0</v>
      </c>
      <c r="N121" s="88">
        <f>SUM(Table1[[#This Row],[Inter School sports 1]:[Inter School sports 50]])</f>
        <v>0</v>
      </c>
      <c r="O121" s="17">
        <f>COUNTIF(Table1[[#This Row],[Community club (type name of club(s). All clubs will count as ''1'']],"*")</f>
        <v>0</v>
      </c>
      <c r="P121" s="17">
        <f>IF(OR(Table1[[#This Row],[Total Challenges]]&gt;0,Table1[[#This Row],[Total Ex-C Clubs]]&gt;0,Table1[[#This Row],[Total Intra-School Sports]]&gt;0,Table1[[#This Row],[Total Inter-School Sports]]&gt;0,Table1[[#This Row],[Community Clubs]]&gt;0),1,0)</f>
        <v>0</v>
      </c>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21"/>
    </row>
    <row r="122" spans="1:218" x14ac:dyDescent="0.25">
      <c r="A122" s="17"/>
      <c r="B122" s="17"/>
      <c r="C122" s="17"/>
      <c r="D122" s="17"/>
      <c r="E122" s="17"/>
      <c r="F122" s="17"/>
      <c r="G122" s="17"/>
      <c r="H122" s="17"/>
      <c r="I122" s="17"/>
      <c r="J122" s="17"/>
      <c r="K122" s="17">
        <f>SUM(Table1[[#This Row],[Challenge 1]:[Challenge 50]])</f>
        <v>0</v>
      </c>
      <c r="L122" s="88">
        <f>SUM(Table1[[#This Row],[Club 1]:[Club 50]])</f>
        <v>0</v>
      </c>
      <c r="M122" s="88">
        <f>SUM(Table1[[#This Row],[Intra-school sports 1]:[Intra-school sports 50]])</f>
        <v>0</v>
      </c>
      <c r="N122" s="88">
        <f>SUM(Table1[[#This Row],[Inter School sports 1]:[Inter School sports 50]])</f>
        <v>0</v>
      </c>
      <c r="O122" s="17">
        <f>COUNTIF(Table1[[#This Row],[Community club (type name of club(s). All clubs will count as ''1'']],"*")</f>
        <v>0</v>
      </c>
      <c r="P122" s="17">
        <f>IF(OR(Table1[[#This Row],[Total Challenges]]&gt;0,Table1[[#This Row],[Total Ex-C Clubs]]&gt;0,Table1[[#This Row],[Total Intra-School Sports]]&gt;0,Table1[[#This Row],[Total Inter-School Sports]]&gt;0,Table1[[#This Row],[Community Clubs]]&gt;0),1,0)</f>
        <v>0</v>
      </c>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21"/>
    </row>
    <row r="123" spans="1:218" x14ac:dyDescent="0.25">
      <c r="A123" s="17"/>
      <c r="B123" s="17"/>
      <c r="C123" s="17"/>
      <c r="D123" s="17"/>
      <c r="E123" s="17"/>
      <c r="F123" s="17"/>
      <c r="G123" s="17"/>
      <c r="H123" s="17"/>
      <c r="I123" s="17"/>
      <c r="J123" s="17"/>
      <c r="K123" s="17">
        <f>SUM(Table1[[#This Row],[Challenge 1]:[Challenge 50]])</f>
        <v>0</v>
      </c>
      <c r="L123" s="88">
        <f>SUM(Table1[[#This Row],[Club 1]:[Club 50]])</f>
        <v>0</v>
      </c>
      <c r="M123" s="88">
        <f>SUM(Table1[[#This Row],[Intra-school sports 1]:[Intra-school sports 50]])</f>
        <v>0</v>
      </c>
      <c r="N123" s="88">
        <f>SUM(Table1[[#This Row],[Inter School sports 1]:[Inter School sports 50]])</f>
        <v>0</v>
      </c>
      <c r="O123" s="17">
        <f>COUNTIF(Table1[[#This Row],[Community club (type name of club(s). All clubs will count as ''1'']],"*")</f>
        <v>0</v>
      </c>
      <c r="P123" s="17">
        <f>IF(OR(Table1[[#This Row],[Total Challenges]]&gt;0,Table1[[#This Row],[Total Ex-C Clubs]]&gt;0,Table1[[#This Row],[Total Intra-School Sports]]&gt;0,Table1[[#This Row],[Total Inter-School Sports]]&gt;0,Table1[[#This Row],[Community Clubs]]&gt;0),1,0)</f>
        <v>0</v>
      </c>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21"/>
    </row>
    <row r="124" spans="1:218" x14ac:dyDescent="0.25">
      <c r="A124" s="17"/>
      <c r="B124" s="17"/>
      <c r="C124" s="17"/>
      <c r="D124" s="17"/>
      <c r="E124" s="17"/>
      <c r="F124" s="17"/>
      <c r="G124" s="17"/>
      <c r="H124" s="17"/>
      <c r="I124" s="17"/>
      <c r="J124" s="17"/>
      <c r="K124" s="17">
        <f>SUM(Table1[[#This Row],[Challenge 1]:[Challenge 50]])</f>
        <v>0</v>
      </c>
      <c r="L124" s="88">
        <f>SUM(Table1[[#This Row],[Club 1]:[Club 50]])</f>
        <v>0</v>
      </c>
      <c r="M124" s="88">
        <f>SUM(Table1[[#This Row],[Intra-school sports 1]:[Intra-school sports 50]])</f>
        <v>0</v>
      </c>
      <c r="N124" s="88">
        <f>SUM(Table1[[#This Row],[Inter School sports 1]:[Inter School sports 50]])</f>
        <v>0</v>
      </c>
      <c r="O124" s="17">
        <f>COUNTIF(Table1[[#This Row],[Community club (type name of club(s). All clubs will count as ''1'']],"*")</f>
        <v>0</v>
      </c>
      <c r="P124" s="17">
        <f>IF(OR(Table1[[#This Row],[Total Challenges]]&gt;0,Table1[[#This Row],[Total Ex-C Clubs]]&gt;0,Table1[[#This Row],[Total Intra-School Sports]]&gt;0,Table1[[#This Row],[Total Inter-School Sports]]&gt;0,Table1[[#This Row],[Community Clubs]]&gt;0),1,0)</f>
        <v>0</v>
      </c>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21"/>
    </row>
    <row r="125" spans="1:218" x14ac:dyDescent="0.25">
      <c r="A125" s="17"/>
      <c r="B125" s="17"/>
      <c r="C125" s="17"/>
      <c r="D125" s="17"/>
      <c r="E125" s="17"/>
      <c r="F125" s="17"/>
      <c r="G125" s="17"/>
      <c r="H125" s="17"/>
      <c r="I125" s="17"/>
      <c r="J125" s="17"/>
      <c r="K125" s="17">
        <f>SUM(Table1[[#This Row],[Challenge 1]:[Challenge 50]])</f>
        <v>0</v>
      </c>
      <c r="L125" s="88">
        <f>SUM(Table1[[#This Row],[Club 1]:[Club 50]])</f>
        <v>0</v>
      </c>
      <c r="M125" s="88">
        <f>SUM(Table1[[#This Row],[Intra-school sports 1]:[Intra-school sports 50]])</f>
        <v>0</v>
      </c>
      <c r="N125" s="88">
        <f>SUM(Table1[[#This Row],[Inter School sports 1]:[Inter School sports 50]])</f>
        <v>0</v>
      </c>
      <c r="O125" s="17">
        <f>COUNTIF(Table1[[#This Row],[Community club (type name of club(s). All clubs will count as ''1'']],"*")</f>
        <v>0</v>
      </c>
      <c r="P125" s="17">
        <f>IF(OR(Table1[[#This Row],[Total Challenges]]&gt;0,Table1[[#This Row],[Total Ex-C Clubs]]&gt;0,Table1[[#This Row],[Total Intra-School Sports]]&gt;0,Table1[[#This Row],[Total Inter-School Sports]]&gt;0,Table1[[#This Row],[Community Clubs]]&gt;0),1,0)</f>
        <v>0</v>
      </c>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21"/>
    </row>
    <row r="126" spans="1:218" x14ac:dyDescent="0.25">
      <c r="A126" s="17"/>
      <c r="B126" s="17"/>
      <c r="C126" s="17"/>
      <c r="D126" s="17"/>
      <c r="E126" s="17"/>
      <c r="F126" s="17"/>
      <c r="G126" s="17"/>
      <c r="H126" s="17"/>
      <c r="I126" s="17"/>
      <c r="J126" s="17"/>
      <c r="K126" s="17">
        <f>SUM(Table1[[#This Row],[Challenge 1]:[Challenge 50]])</f>
        <v>0</v>
      </c>
      <c r="L126" s="88">
        <f>SUM(Table1[[#This Row],[Club 1]:[Club 50]])</f>
        <v>0</v>
      </c>
      <c r="M126" s="88">
        <f>SUM(Table1[[#This Row],[Intra-school sports 1]:[Intra-school sports 50]])</f>
        <v>0</v>
      </c>
      <c r="N126" s="88">
        <f>SUM(Table1[[#This Row],[Inter School sports 1]:[Inter School sports 50]])</f>
        <v>0</v>
      </c>
      <c r="O126" s="17">
        <f>COUNTIF(Table1[[#This Row],[Community club (type name of club(s). All clubs will count as ''1'']],"*")</f>
        <v>0</v>
      </c>
      <c r="P126" s="17">
        <f>IF(OR(Table1[[#This Row],[Total Challenges]]&gt;0,Table1[[#This Row],[Total Ex-C Clubs]]&gt;0,Table1[[#This Row],[Total Intra-School Sports]]&gt;0,Table1[[#This Row],[Total Inter-School Sports]]&gt;0,Table1[[#This Row],[Community Clubs]]&gt;0),1,0)</f>
        <v>0</v>
      </c>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21"/>
    </row>
    <row r="127" spans="1:218" x14ac:dyDescent="0.25">
      <c r="A127" s="17"/>
      <c r="B127" s="17"/>
      <c r="C127" s="17"/>
      <c r="D127" s="17"/>
      <c r="E127" s="17"/>
      <c r="F127" s="17"/>
      <c r="G127" s="17"/>
      <c r="H127" s="17"/>
      <c r="I127" s="17"/>
      <c r="J127" s="17"/>
      <c r="K127" s="17">
        <f>SUM(Table1[[#This Row],[Challenge 1]:[Challenge 50]])</f>
        <v>0</v>
      </c>
      <c r="L127" s="88">
        <f>SUM(Table1[[#This Row],[Club 1]:[Club 50]])</f>
        <v>0</v>
      </c>
      <c r="M127" s="88">
        <f>SUM(Table1[[#This Row],[Intra-school sports 1]:[Intra-school sports 50]])</f>
        <v>0</v>
      </c>
      <c r="N127" s="88">
        <f>SUM(Table1[[#This Row],[Inter School sports 1]:[Inter School sports 50]])</f>
        <v>0</v>
      </c>
      <c r="O127" s="17">
        <f>COUNTIF(Table1[[#This Row],[Community club (type name of club(s). All clubs will count as ''1'']],"*")</f>
        <v>0</v>
      </c>
      <c r="P127" s="17">
        <f>IF(OR(Table1[[#This Row],[Total Challenges]]&gt;0,Table1[[#This Row],[Total Ex-C Clubs]]&gt;0,Table1[[#This Row],[Total Intra-School Sports]]&gt;0,Table1[[#This Row],[Total Inter-School Sports]]&gt;0,Table1[[#This Row],[Community Clubs]]&gt;0),1,0)</f>
        <v>0</v>
      </c>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21"/>
    </row>
    <row r="128" spans="1:218" x14ac:dyDescent="0.25">
      <c r="A128" s="17"/>
      <c r="B128" s="17"/>
      <c r="C128" s="17"/>
      <c r="D128" s="17"/>
      <c r="E128" s="17"/>
      <c r="F128" s="17"/>
      <c r="G128" s="17"/>
      <c r="H128" s="17"/>
      <c r="I128" s="17"/>
      <c r="J128" s="17"/>
      <c r="K128" s="17">
        <f>SUM(Table1[[#This Row],[Challenge 1]:[Challenge 50]])</f>
        <v>0</v>
      </c>
      <c r="L128" s="88">
        <f>SUM(Table1[[#This Row],[Club 1]:[Club 50]])</f>
        <v>0</v>
      </c>
      <c r="M128" s="88">
        <f>SUM(Table1[[#This Row],[Intra-school sports 1]:[Intra-school sports 50]])</f>
        <v>0</v>
      </c>
      <c r="N128" s="88">
        <f>SUM(Table1[[#This Row],[Inter School sports 1]:[Inter School sports 50]])</f>
        <v>0</v>
      </c>
      <c r="O128" s="17">
        <f>COUNTIF(Table1[[#This Row],[Community club (type name of club(s). All clubs will count as ''1'']],"*")</f>
        <v>0</v>
      </c>
      <c r="P128" s="17">
        <f>IF(OR(Table1[[#This Row],[Total Challenges]]&gt;0,Table1[[#This Row],[Total Ex-C Clubs]]&gt;0,Table1[[#This Row],[Total Intra-School Sports]]&gt;0,Table1[[#This Row],[Total Inter-School Sports]]&gt;0,Table1[[#This Row],[Community Clubs]]&gt;0),1,0)</f>
        <v>0</v>
      </c>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21"/>
    </row>
    <row r="129" spans="1:218" x14ac:dyDescent="0.25">
      <c r="A129" s="17"/>
      <c r="B129" s="17"/>
      <c r="C129" s="17"/>
      <c r="D129" s="17"/>
      <c r="E129" s="17"/>
      <c r="F129" s="17"/>
      <c r="G129" s="17"/>
      <c r="H129" s="17"/>
      <c r="I129" s="17"/>
      <c r="J129" s="17"/>
      <c r="K129" s="17">
        <f>SUM(Table1[[#This Row],[Challenge 1]:[Challenge 50]])</f>
        <v>0</v>
      </c>
      <c r="L129" s="88">
        <f>SUM(Table1[[#This Row],[Club 1]:[Club 50]])</f>
        <v>0</v>
      </c>
      <c r="M129" s="88">
        <f>SUM(Table1[[#This Row],[Intra-school sports 1]:[Intra-school sports 50]])</f>
        <v>0</v>
      </c>
      <c r="N129" s="88">
        <f>SUM(Table1[[#This Row],[Inter School sports 1]:[Inter School sports 50]])</f>
        <v>0</v>
      </c>
      <c r="O129" s="17">
        <f>COUNTIF(Table1[[#This Row],[Community club (type name of club(s). All clubs will count as ''1'']],"*")</f>
        <v>0</v>
      </c>
      <c r="P129" s="17">
        <f>IF(OR(Table1[[#This Row],[Total Challenges]]&gt;0,Table1[[#This Row],[Total Ex-C Clubs]]&gt;0,Table1[[#This Row],[Total Intra-School Sports]]&gt;0,Table1[[#This Row],[Total Inter-School Sports]]&gt;0,Table1[[#This Row],[Community Clubs]]&gt;0),1,0)</f>
        <v>0</v>
      </c>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21"/>
    </row>
    <row r="130" spans="1:218" x14ac:dyDescent="0.25">
      <c r="A130" s="17"/>
      <c r="B130" s="17"/>
      <c r="C130" s="17"/>
      <c r="D130" s="17"/>
      <c r="E130" s="17"/>
      <c r="F130" s="17"/>
      <c r="G130" s="17"/>
      <c r="H130" s="17"/>
      <c r="I130" s="17"/>
      <c r="J130" s="17"/>
      <c r="K130" s="17">
        <f>SUM(Table1[[#This Row],[Challenge 1]:[Challenge 50]])</f>
        <v>0</v>
      </c>
      <c r="L130" s="88">
        <f>SUM(Table1[[#This Row],[Club 1]:[Club 50]])</f>
        <v>0</v>
      </c>
      <c r="M130" s="88">
        <f>SUM(Table1[[#This Row],[Intra-school sports 1]:[Intra-school sports 50]])</f>
        <v>0</v>
      </c>
      <c r="N130" s="88">
        <f>SUM(Table1[[#This Row],[Inter School sports 1]:[Inter School sports 50]])</f>
        <v>0</v>
      </c>
      <c r="O130" s="17">
        <f>COUNTIF(Table1[[#This Row],[Community club (type name of club(s). All clubs will count as ''1'']],"*")</f>
        <v>0</v>
      </c>
      <c r="P130" s="17">
        <f>IF(OR(Table1[[#This Row],[Total Challenges]]&gt;0,Table1[[#This Row],[Total Ex-C Clubs]]&gt;0,Table1[[#This Row],[Total Intra-School Sports]]&gt;0,Table1[[#This Row],[Total Inter-School Sports]]&gt;0,Table1[[#This Row],[Community Clubs]]&gt;0),1,0)</f>
        <v>0</v>
      </c>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21"/>
    </row>
    <row r="131" spans="1:218" x14ac:dyDescent="0.25">
      <c r="A131" s="17"/>
      <c r="B131" s="17"/>
      <c r="C131" s="17"/>
      <c r="D131" s="17"/>
      <c r="E131" s="17"/>
      <c r="F131" s="17"/>
      <c r="G131" s="17"/>
      <c r="H131" s="17"/>
      <c r="I131" s="17"/>
      <c r="J131" s="17"/>
      <c r="K131" s="17">
        <f>SUM(Table1[[#This Row],[Challenge 1]:[Challenge 50]])</f>
        <v>0</v>
      </c>
      <c r="L131" s="88">
        <f>SUM(Table1[[#This Row],[Club 1]:[Club 50]])</f>
        <v>0</v>
      </c>
      <c r="M131" s="88">
        <f>SUM(Table1[[#This Row],[Intra-school sports 1]:[Intra-school sports 50]])</f>
        <v>0</v>
      </c>
      <c r="N131" s="88">
        <f>SUM(Table1[[#This Row],[Inter School sports 1]:[Inter School sports 50]])</f>
        <v>0</v>
      </c>
      <c r="O131" s="17">
        <f>COUNTIF(Table1[[#This Row],[Community club (type name of club(s). All clubs will count as ''1'']],"*")</f>
        <v>0</v>
      </c>
      <c r="P131" s="17">
        <f>IF(OR(Table1[[#This Row],[Total Challenges]]&gt;0,Table1[[#This Row],[Total Ex-C Clubs]]&gt;0,Table1[[#This Row],[Total Intra-School Sports]]&gt;0,Table1[[#This Row],[Total Inter-School Sports]]&gt;0,Table1[[#This Row],[Community Clubs]]&gt;0),1,0)</f>
        <v>0</v>
      </c>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21"/>
    </row>
    <row r="132" spans="1:218" x14ac:dyDescent="0.25">
      <c r="A132" s="17"/>
      <c r="B132" s="17"/>
      <c r="C132" s="17"/>
      <c r="D132" s="17"/>
      <c r="E132" s="17"/>
      <c r="F132" s="17"/>
      <c r="G132" s="17"/>
      <c r="H132" s="17"/>
      <c r="I132" s="17"/>
      <c r="J132" s="17"/>
      <c r="K132" s="17">
        <f>SUM(Table1[[#This Row],[Challenge 1]:[Challenge 50]])</f>
        <v>0</v>
      </c>
      <c r="L132" s="88">
        <f>SUM(Table1[[#This Row],[Club 1]:[Club 50]])</f>
        <v>0</v>
      </c>
      <c r="M132" s="88">
        <f>SUM(Table1[[#This Row],[Intra-school sports 1]:[Intra-school sports 50]])</f>
        <v>0</v>
      </c>
      <c r="N132" s="88">
        <f>SUM(Table1[[#This Row],[Inter School sports 1]:[Inter School sports 50]])</f>
        <v>0</v>
      </c>
      <c r="O132" s="17">
        <f>COUNTIF(Table1[[#This Row],[Community club (type name of club(s). All clubs will count as ''1'']],"*")</f>
        <v>0</v>
      </c>
      <c r="P132" s="17">
        <f>IF(OR(Table1[[#This Row],[Total Challenges]]&gt;0,Table1[[#This Row],[Total Ex-C Clubs]]&gt;0,Table1[[#This Row],[Total Intra-School Sports]]&gt;0,Table1[[#This Row],[Total Inter-School Sports]]&gt;0,Table1[[#This Row],[Community Clubs]]&gt;0),1,0)</f>
        <v>0</v>
      </c>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21"/>
    </row>
    <row r="133" spans="1:218" x14ac:dyDescent="0.25">
      <c r="A133" s="17"/>
      <c r="B133" s="17"/>
      <c r="C133" s="17"/>
      <c r="D133" s="17"/>
      <c r="E133" s="17"/>
      <c r="F133" s="17"/>
      <c r="G133" s="17"/>
      <c r="H133" s="17"/>
      <c r="I133" s="17"/>
      <c r="J133" s="17"/>
      <c r="K133" s="17">
        <f>SUM(Table1[[#This Row],[Challenge 1]:[Challenge 50]])</f>
        <v>0</v>
      </c>
      <c r="L133" s="88">
        <f>SUM(Table1[[#This Row],[Club 1]:[Club 50]])</f>
        <v>0</v>
      </c>
      <c r="M133" s="88">
        <f>SUM(Table1[[#This Row],[Intra-school sports 1]:[Intra-school sports 50]])</f>
        <v>0</v>
      </c>
      <c r="N133" s="88">
        <f>SUM(Table1[[#This Row],[Inter School sports 1]:[Inter School sports 50]])</f>
        <v>0</v>
      </c>
      <c r="O133" s="17">
        <f>COUNTIF(Table1[[#This Row],[Community club (type name of club(s). All clubs will count as ''1'']],"*")</f>
        <v>0</v>
      </c>
      <c r="P133" s="17">
        <f>IF(OR(Table1[[#This Row],[Total Challenges]]&gt;0,Table1[[#This Row],[Total Ex-C Clubs]]&gt;0,Table1[[#This Row],[Total Intra-School Sports]]&gt;0,Table1[[#This Row],[Total Inter-School Sports]]&gt;0,Table1[[#This Row],[Community Clubs]]&gt;0),1,0)</f>
        <v>0</v>
      </c>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21"/>
    </row>
    <row r="134" spans="1:218" x14ac:dyDescent="0.25">
      <c r="A134" s="17"/>
      <c r="B134" s="17"/>
      <c r="C134" s="17"/>
      <c r="D134" s="17"/>
      <c r="E134" s="17"/>
      <c r="F134" s="17"/>
      <c r="G134" s="17"/>
      <c r="H134" s="17"/>
      <c r="I134" s="17"/>
      <c r="J134" s="17"/>
      <c r="K134" s="17">
        <f>SUM(Table1[[#This Row],[Challenge 1]:[Challenge 50]])</f>
        <v>0</v>
      </c>
      <c r="L134" s="88">
        <f>SUM(Table1[[#This Row],[Club 1]:[Club 50]])</f>
        <v>0</v>
      </c>
      <c r="M134" s="88">
        <f>SUM(Table1[[#This Row],[Intra-school sports 1]:[Intra-school sports 50]])</f>
        <v>0</v>
      </c>
      <c r="N134" s="88">
        <f>SUM(Table1[[#This Row],[Inter School sports 1]:[Inter School sports 50]])</f>
        <v>0</v>
      </c>
      <c r="O134" s="17">
        <f>COUNTIF(Table1[[#This Row],[Community club (type name of club(s). All clubs will count as ''1'']],"*")</f>
        <v>0</v>
      </c>
      <c r="P134" s="17">
        <f>IF(OR(Table1[[#This Row],[Total Challenges]]&gt;0,Table1[[#This Row],[Total Ex-C Clubs]]&gt;0,Table1[[#This Row],[Total Intra-School Sports]]&gt;0,Table1[[#This Row],[Total Inter-School Sports]]&gt;0,Table1[[#This Row],[Community Clubs]]&gt;0),1,0)</f>
        <v>0</v>
      </c>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21"/>
    </row>
    <row r="135" spans="1:218" x14ac:dyDescent="0.25">
      <c r="A135" s="17"/>
      <c r="B135" s="17"/>
      <c r="C135" s="17"/>
      <c r="D135" s="17"/>
      <c r="E135" s="17"/>
      <c r="F135" s="17"/>
      <c r="G135" s="17"/>
      <c r="H135" s="17"/>
      <c r="I135" s="17"/>
      <c r="J135" s="17"/>
      <c r="K135" s="17">
        <f>SUM(Table1[[#This Row],[Challenge 1]:[Challenge 50]])</f>
        <v>0</v>
      </c>
      <c r="L135" s="88">
        <f>SUM(Table1[[#This Row],[Club 1]:[Club 50]])</f>
        <v>0</v>
      </c>
      <c r="M135" s="88">
        <f>SUM(Table1[[#This Row],[Intra-school sports 1]:[Intra-school sports 50]])</f>
        <v>0</v>
      </c>
      <c r="N135" s="88">
        <f>SUM(Table1[[#This Row],[Inter School sports 1]:[Inter School sports 50]])</f>
        <v>0</v>
      </c>
      <c r="O135" s="17">
        <f>COUNTIF(Table1[[#This Row],[Community club (type name of club(s). All clubs will count as ''1'']],"*")</f>
        <v>0</v>
      </c>
      <c r="P135" s="17">
        <f>IF(OR(Table1[[#This Row],[Total Challenges]]&gt;0,Table1[[#This Row],[Total Ex-C Clubs]]&gt;0,Table1[[#This Row],[Total Intra-School Sports]]&gt;0,Table1[[#This Row],[Total Inter-School Sports]]&gt;0,Table1[[#This Row],[Community Clubs]]&gt;0),1,0)</f>
        <v>0</v>
      </c>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21"/>
    </row>
    <row r="136" spans="1:218" x14ac:dyDescent="0.25">
      <c r="A136" s="17"/>
      <c r="B136" s="17"/>
      <c r="C136" s="17"/>
      <c r="D136" s="17"/>
      <c r="E136" s="17"/>
      <c r="F136" s="17"/>
      <c r="G136" s="17"/>
      <c r="H136" s="17"/>
      <c r="I136" s="17"/>
      <c r="J136" s="17"/>
      <c r="K136" s="17">
        <f>SUM(Table1[[#This Row],[Challenge 1]:[Challenge 50]])</f>
        <v>0</v>
      </c>
      <c r="L136" s="88">
        <f>SUM(Table1[[#This Row],[Club 1]:[Club 50]])</f>
        <v>0</v>
      </c>
      <c r="M136" s="88">
        <f>SUM(Table1[[#This Row],[Intra-school sports 1]:[Intra-school sports 50]])</f>
        <v>0</v>
      </c>
      <c r="N136" s="88">
        <f>SUM(Table1[[#This Row],[Inter School sports 1]:[Inter School sports 50]])</f>
        <v>0</v>
      </c>
      <c r="O136" s="17">
        <f>COUNTIF(Table1[[#This Row],[Community club (type name of club(s). All clubs will count as ''1'']],"*")</f>
        <v>0</v>
      </c>
      <c r="P136" s="17">
        <f>IF(OR(Table1[[#This Row],[Total Challenges]]&gt;0,Table1[[#This Row],[Total Ex-C Clubs]]&gt;0,Table1[[#This Row],[Total Intra-School Sports]]&gt;0,Table1[[#This Row],[Total Inter-School Sports]]&gt;0,Table1[[#This Row],[Community Clubs]]&gt;0),1,0)</f>
        <v>0</v>
      </c>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21"/>
    </row>
    <row r="137" spans="1:218" x14ac:dyDescent="0.25">
      <c r="A137" s="17"/>
      <c r="B137" s="17"/>
      <c r="C137" s="17"/>
      <c r="D137" s="17"/>
      <c r="E137" s="17"/>
      <c r="F137" s="17"/>
      <c r="G137" s="17"/>
      <c r="H137" s="17"/>
      <c r="I137" s="17"/>
      <c r="J137" s="17"/>
      <c r="K137" s="17">
        <f>SUM(Table1[[#This Row],[Challenge 1]:[Challenge 50]])</f>
        <v>0</v>
      </c>
      <c r="L137" s="88">
        <f>SUM(Table1[[#This Row],[Club 1]:[Club 50]])</f>
        <v>0</v>
      </c>
      <c r="M137" s="88">
        <f>SUM(Table1[[#This Row],[Intra-school sports 1]:[Intra-school sports 50]])</f>
        <v>0</v>
      </c>
      <c r="N137" s="88">
        <f>SUM(Table1[[#This Row],[Inter School sports 1]:[Inter School sports 50]])</f>
        <v>0</v>
      </c>
      <c r="O137" s="17">
        <f>COUNTIF(Table1[[#This Row],[Community club (type name of club(s). All clubs will count as ''1'']],"*")</f>
        <v>0</v>
      </c>
      <c r="P137" s="17">
        <f>IF(OR(Table1[[#This Row],[Total Challenges]]&gt;0,Table1[[#This Row],[Total Ex-C Clubs]]&gt;0,Table1[[#This Row],[Total Intra-School Sports]]&gt;0,Table1[[#This Row],[Total Inter-School Sports]]&gt;0,Table1[[#This Row],[Community Clubs]]&gt;0),1,0)</f>
        <v>0</v>
      </c>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21"/>
    </row>
    <row r="138" spans="1:218" x14ac:dyDescent="0.25">
      <c r="A138" s="17"/>
      <c r="B138" s="17"/>
      <c r="C138" s="17"/>
      <c r="D138" s="17"/>
      <c r="E138" s="17"/>
      <c r="F138" s="17"/>
      <c r="G138" s="17"/>
      <c r="H138" s="17"/>
      <c r="I138" s="17"/>
      <c r="J138" s="17"/>
      <c r="K138" s="17">
        <f>SUM(Table1[[#This Row],[Challenge 1]:[Challenge 50]])</f>
        <v>0</v>
      </c>
      <c r="L138" s="88">
        <f>SUM(Table1[[#This Row],[Club 1]:[Club 50]])</f>
        <v>0</v>
      </c>
      <c r="M138" s="88">
        <f>SUM(Table1[[#This Row],[Intra-school sports 1]:[Intra-school sports 50]])</f>
        <v>0</v>
      </c>
      <c r="N138" s="88">
        <f>SUM(Table1[[#This Row],[Inter School sports 1]:[Inter School sports 50]])</f>
        <v>0</v>
      </c>
      <c r="O138" s="17">
        <f>COUNTIF(Table1[[#This Row],[Community club (type name of club(s). All clubs will count as ''1'']],"*")</f>
        <v>0</v>
      </c>
      <c r="P138" s="17">
        <f>IF(OR(Table1[[#This Row],[Total Challenges]]&gt;0,Table1[[#This Row],[Total Ex-C Clubs]]&gt;0,Table1[[#This Row],[Total Intra-School Sports]]&gt;0,Table1[[#This Row],[Total Inter-School Sports]]&gt;0,Table1[[#This Row],[Community Clubs]]&gt;0),1,0)</f>
        <v>0</v>
      </c>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21"/>
    </row>
    <row r="139" spans="1:218" x14ac:dyDescent="0.25">
      <c r="A139" s="17"/>
      <c r="B139" s="17"/>
      <c r="C139" s="17"/>
      <c r="D139" s="17"/>
      <c r="E139" s="17"/>
      <c r="F139" s="17"/>
      <c r="G139" s="17"/>
      <c r="H139" s="17"/>
      <c r="I139" s="17"/>
      <c r="J139" s="17"/>
      <c r="K139" s="17">
        <f>SUM(Table1[[#This Row],[Challenge 1]:[Challenge 50]])</f>
        <v>0</v>
      </c>
      <c r="L139" s="88">
        <f>SUM(Table1[[#This Row],[Club 1]:[Club 50]])</f>
        <v>0</v>
      </c>
      <c r="M139" s="88">
        <f>SUM(Table1[[#This Row],[Intra-school sports 1]:[Intra-school sports 50]])</f>
        <v>0</v>
      </c>
      <c r="N139" s="88">
        <f>SUM(Table1[[#This Row],[Inter School sports 1]:[Inter School sports 50]])</f>
        <v>0</v>
      </c>
      <c r="O139" s="17">
        <f>COUNTIF(Table1[[#This Row],[Community club (type name of club(s). All clubs will count as ''1'']],"*")</f>
        <v>0</v>
      </c>
      <c r="P139" s="17">
        <f>IF(OR(Table1[[#This Row],[Total Challenges]]&gt;0,Table1[[#This Row],[Total Ex-C Clubs]]&gt;0,Table1[[#This Row],[Total Intra-School Sports]]&gt;0,Table1[[#This Row],[Total Inter-School Sports]]&gt;0,Table1[[#This Row],[Community Clubs]]&gt;0),1,0)</f>
        <v>0</v>
      </c>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21"/>
    </row>
    <row r="140" spans="1:218" x14ac:dyDescent="0.25">
      <c r="A140" s="17"/>
      <c r="B140" s="17"/>
      <c r="C140" s="17"/>
      <c r="D140" s="17"/>
      <c r="E140" s="17"/>
      <c r="F140" s="17"/>
      <c r="G140" s="17"/>
      <c r="H140" s="17"/>
      <c r="I140" s="17"/>
      <c r="J140" s="17"/>
      <c r="K140" s="17">
        <f>SUM(Table1[[#This Row],[Challenge 1]:[Challenge 50]])</f>
        <v>0</v>
      </c>
      <c r="L140" s="88">
        <f>SUM(Table1[[#This Row],[Club 1]:[Club 50]])</f>
        <v>0</v>
      </c>
      <c r="M140" s="88">
        <f>SUM(Table1[[#This Row],[Intra-school sports 1]:[Intra-school sports 50]])</f>
        <v>0</v>
      </c>
      <c r="N140" s="88">
        <f>SUM(Table1[[#This Row],[Inter School sports 1]:[Inter School sports 50]])</f>
        <v>0</v>
      </c>
      <c r="O140" s="17">
        <f>COUNTIF(Table1[[#This Row],[Community club (type name of club(s). All clubs will count as ''1'']],"*")</f>
        <v>0</v>
      </c>
      <c r="P140" s="17">
        <f>IF(OR(Table1[[#This Row],[Total Challenges]]&gt;0,Table1[[#This Row],[Total Ex-C Clubs]]&gt;0,Table1[[#This Row],[Total Intra-School Sports]]&gt;0,Table1[[#This Row],[Total Inter-School Sports]]&gt;0,Table1[[#This Row],[Community Clubs]]&gt;0),1,0)</f>
        <v>0</v>
      </c>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21"/>
    </row>
    <row r="141" spans="1:218" x14ac:dyDescent="0.25">
      <c r="A141" s="17"/>
      <c r="B141" s="17"/>
      <c r="C141" s="17"/>
      <c r="D141" s="17"/>
      <c r="E141" s="17"/>
      <c r="F141" s="17"/>
      <c r="G141" s="17"/>
      <c r="H141" s="17"/>
      <c r="I141" s="17"/>
      <c r="J141" s="17"/>
      <c r="K141" s="17">
        <f>SUM(Table1[[#This Row],[Challenge 1]:[Challenge 50]])</f>
        <v>0</v>
      </c>
      <c r="L141" s="88">
        <f>SUM(Table1[[#This Row],[Club 1]:[Club 50]])</f>
        <v>0</v>
      </c>
      <c r="M141" s="88">
        <f>SUM(Table1[[#This Row],[Intra-school sports 1]:[Intra-school sports 50]])</f>
        <v>0</v>
      </c>
      <c r="N141" s="88">
        <f>SUM(Table1[[#This Row],[Inter School sports 1]:[Inter School sports 50]])</f>
        <v>0</v>
      </c>
      <c r="O141" s="17">
        <f>COUNTIF(Table1[[#This Row],[Community club (type name of club(s). All clubs will count as ''1'']],"*")</f>
        <v>0</v>
      </c>
      <c r="P141" s="17">
        <f>IF(OR(Table1[[#This Row],[Total Challenges]]&gt;0,Table1[[#This Row],[Total Ex-C Clubs]]&gt;0,Table1[[#This Row],[Total Intra-School Sports]]&gt;0,Table1[[#This Row],[Total Inter-School Sports]]&gt;0,Table1[[#This Row],[Community Clubs]]&gt;0),1,0)</f>
        <v>0</v>
      </c>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21"/>
    </row>
    <row r="142" spans="1:218" x14ac:dyDescent="0.25">
      <c r="A142" s="17"/>
      <c r="B142" s="17"/>
      <c r="C142" s="17"/>
      <c r="D142" s="17"/>
      <c r="E142" s="17"/>
      <c r="F142" s="17"/>
      <c r="G142" s="17"/>
      <c r="H142" s="17"/>
      <c r="I142" s="17"/>
      <c r="J142" s="17"/>
      <c r="K142" s="17">
        <f>SUM(Table1[[#This Row],[Challenge 1]:[Challenge 50]])</f>
        <v>0</v>
      </c>
      <c r="L142" s="88">
        <f>SUM(Table1[[#This Row],[Club 1]:[Club 50]])</f>
        <v>0</v>
      </c>
      <c r="M142" s="88">
        <f>SUM(Table1[[#This Row],[Intra-school sports 1]:[Intra-school sports 50]])</f>
        <v>0</v>
      </c>
      <c r="N142" s="88">
        <f>SUM(Table1[[#This Row],[Inter School sports 1]:[Inter School sports 50]])</f>
        <v>0</v>
      </c>
      <c r="O142" s="17">
        <f>COUNTIF(Table1[[#This Row],[Community club (type name of club(s). All clubs will count as ''1'']],"*")</f>
        <v>0</v>
      </c>
      <c r="P142" s="17">
        <f>IF(OR(Table1[[#This Row],[Total Challenges]]&gt;0,Table1[[#This Row],[Total Ex-C Clubs]]&gt;0,Table1[[#This Row],[Total Intra-School Sports]]&gt;0,Table1[[#This Row],[Total Inter-School Sports]]&gt;0,Table1[[#This Row],[Community Clubs]]&gt;0),1,0)</f>
        <v>0</v>
      </c>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21"/>
    </row>
    <row r="143" spans="1:218" x14ac:dyDescent="0.25">
      <c r="A143" s="17"/>
      <c r="B143" s="17"/>
      <c r="C143" s="17"/>
      <c r="D143" s="17"/>
      <c r="E143" s="17"/>
      <c r="F143" s="17"/>
      <c r="G143" s="17"/>
      <c r="H143" s="17"/>
      <c r="I143" s="17"/>
      <c r="J143" s="17"/>
      <c r="K143" s="17">
        <f>SUM(Table1[[#This Row],[Challenge 1]:[Challenge 50]])</f>
        <v>0</v>
      </c>
      <c r="L143" s="88">
        <f>SUM(Table1[[#This Row],[Club 1]:[Club 50]])</f>
        <v>0</v>
      </c>
      <c r="M143" s="88">
        <f>SUM(Table1[[#This Row],[Intra-school sports 1]:[Intra-school sports 50]])</f>
        <v>0</v>
      </c>
      <c r="N143" s="88">
        <f>SUM(Table1[[#This Row],[Inter School sports 1]:[Inter School sports 50]])</f>
        <v>0</v>
      </c>
      <c r="O143" s="17">
        <f>COUNTIF(Table1[[#This Row],[Community club (type name of club(s). All clubs will count as ''1'']],"*")</f>
        <v>0</v>
      </c>
      <c r="P143" s="17">
        <f>IF(OR(Table1[[#This Row],[Total Challenges]]&gt;0,Table1[[#This Row],[Total Ex-C Clubs]]&gt;0,Table1[[#This Row],[Total Intra-School Sports]]&gt;0,Table1[[#This Row],[Total Inter-School Sports]]&gt;0,Table1[[#This Row],[Community Clubs]]&gt;0),1,0)</f>
        <v>0</v>
      </c>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21"/>
    </row>
    <row r="144" spans="1:218" x14ac:dyDescent="0.25">
      <c r="A144" s="17"/>
      <c r="B144" s="17"/>
      <c r="C144" s="17"/>
      <c r="D144" s="17"/>
      <c r="E144" s="17"/>
      <c r="F144" s="17"/>
      <c r="G144" s="17"/>
      <c r="H144" s="17"/>
      <c r="I144" s="17"/>
      <c r="J144" s="17"/>
      <c r="K144" s="17">
        <f>SUM(Table1[[#This Row],[Challenge 1]:[Challenge 50]])</f>
        <v>0</v>
      </c>
      <c r="L144" s="88">
        <f>SUM(Table1[[#This Row],[Club 1]:[Club 50]])</f>
        <v>0</v>
      </c>
      <c r="M144" s="88">
        <f>SUM(Table1[[#This Row],[Intra-school sports 1]:[Intra-school sports 50]])</f>
        <v>0</v>
      </c>
      <c r="N144" s="88">
        <f>SUM(Table1[[#This Row],[Inter School sports 1]:[Inter School sports 50]])</f>
        <v>0</v>
      </c>
      <c r="O144" s="17">
        <f>COUNTIF(Table1[[#This Row],[Community club (type name of club(s). All clubs will count as ''1'']],"*")</f>
        <v>0</v>
      </c>
      <c r="P144" s="17">
        <f>IF(OR(Table1[[#This Row],[Total Challenges]]&gt;0,Table1[[#This Row],[Total Ex-C Clubs]]&gt;0,Table1[[#This Row],[Total Intra-School Sports]]&gt;0,Table1[[#This Row],[Total Inter-School Sports]]&gt;0,Table1[[#This Row],[Community Clubs]]&gt;0),1,0)</f>
        <v>0</v>
      </c>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21"/>
    </row>
    <row r="145" spans="1:218" x14ac:dyDescent="0.25">
      <c r="A145" s="17"/>
      <c r="B145" s="17"/>
      <c r="C145" s="17"/>
      <c r="D145" s="17"/>
      <c r="E145" s="17"/>
      <c r="F145" s="17"/>
      <c r="G145" s="17"/>
      <c r="H145" s="17"/>
      <c r="I145" s="17"/>
      <c r="J145" s="17"/>
      <c r="K145" s="17">
        <f>SUM(Table1[[#This Row],[Challenge 1]:[Challenge 50]])</f>
        <v>0</v>
      </c>
      <c r="L145" s="88">
        <f>SUM(Table1[[#This Row],[Club 1]:[Club 50]])</f>
        <v>0</v>
      </c>
      <c r="M145" s="88">
        <f>SUM(Table1[[#This Row],[Intra-school sports 1]:[Intra-school sports 50]])</f>
        <v>0</v>
      </c>
      <c r="N145" s="88">
        <f>SUM(Table1[[#This Row],[Inter School sports 1]:[Inter School sports 50]])</f>
        <v>0</v>
      </c>
      <c r="O145" s="17">
        <f>COUNTIF(Table1[[#This Row],[Community club (type name of club(s). All clubs will count as ''1'']],"*")</f>
        <v>0</v>
      </c>
      <c r="P145" s="17">
        <f>IF(OR(Table1[[#This Row],[Total Challenges]]&gt;0,Table1[[#This Row],[Total Ex-C Clubs]]&gt;0,Table1[[#This Row],[Total Intra-School Sports]]&gt;0,Table1[[#This Row],[Total Inter-School Sports]]&gt;0,Table1[[#This Row],[Community Clubs]]&gt;0),1,0)</f>
        <v>0</v>
      </c>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21"/>
    </row>
    <row r="146" spans="1:218" x14ac:dyDescent="0.25">
      <c r="A146" s="17"/>
      <c r="B146" s="17"/>
      <c r="C146" s="17"/>
      <c r="D146" s="17"/>
      <c r="E146" s="17"/>
      <c r="F146" s="17"/>
      <c r="G146" s="17"/>
      <c r="H146" s="17"/>
      <c r="I146" s="17"/>
      <c r="J146" s="17"/>
      <c r="K146" s="17">
        <f>SUM(Table1[[#This Row],[Challenge 1]:[Challenge 50]])</f>
        <v>0</v>
      </c>
      <c r="L146" s="88">
        <f>SUM(Table1[[#This Row],[Club 1]:[Club 50]])</f>
        <v>0</v>
      </c>
      <c r="M146" s="88">
        <f>SUM(Table1[[#This Row],[Intra-school sports 1]:[Intra-school sports 50]])</f>
        <v>0</v>
      </c>
      <c r="N146" s="88">
        <f>SUM(Table1[[#This Row],[Inter School sports 1]:[Inter School sports 50]])</f>
        <v>0</v>
      </c>
      <c r="O146" s="17">
        <f>COUNTIF(Table1[[#This Row],[Community club (type name of club(s). All clubs will count as ''1'']],"*")</f>
        <v>0</v>
      </c>
      <c r="P146" s="17">
        <f>IF(OR(Table1[[#This Row],[Total Challenges]]&gt;0,Table1[[#This Row],[Total Ex-C Clubs]]&gt;0,Table1[[#This Row],[Total Intra-School Sports]]&gt;0,Table1[[#This Row],[Total Inter-School Sports]]&gt;0,Table1[[#This Row],[Community Clubs]]&gt;0),1,0)</f>
        <v>0</v>
      </c>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21"/>
    </row>
    <row r="147" spans="1:218" x14ac:dyDescent="0.25">
      <c r="A147" s="17"/>
      <c r="B147" s="17"/>
      <c r="C147" s="17"/>
      <c r="D147" s="17"/>
      <c r="E147" s="17"/>
      <c r="F147" s="17"/>
      <c r="G147" s="17"/>
      <c r="H147" s="17"/>
      <c r="I147" s="17"/>
      <c r="J147" s="17"/>
      <c r="K147" s="17">
        <f>SUM(Table1[[#This Row],[Challenge 1]:[Challenge 50]])</f>
        <v>0</v>
      </c>
      <c r="L147" s="88">
        <f>SUM(Table1[[#This Row],[Club 1]:[Club 50]])</f>
        <v>0</v>
      </c>
      <c r="M147" s="88">
        <f>SUM(Table1[[#This Row],[Intra-school sports 1]:[Intra-school sports 50]])</f>
        <v>0</v>
      </c>
      <c r="N147" s="88">
        <f>SUM(Table1[[#This Row],[Inter School sports 1]:[Inter School sports 50]])</f>
        <v>0</v>
      </c>
      <c r="O147" s="17">
        <f>COUNTIF(Table1[[#This Row],[Community club (type name of club(s). All clubs will count as ''1'']],"*")</f>
        <v>0</v>
      </c>
      <c r="P147" s="17">
        <f>IF(OR(Table1[[#This Row],[Total Challenges]]&gt;0,Table1[[#This Row],[Total Ex-C Clubs]]&gt;0,Table1[[#This Row],[Total Intra-School Sports]]&gt;0,Table1[[#This Row],[Total Inter-School Sports]]&gt;0,Table1[[#This Row],[Community Clubs]]&gt;0),1,0)</f>
        <v>0</v>
      </c>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21"/>
    </row>
    <row r="148" spans="1:218" x14ac:dyDescent="0.25">
      <c r="A148" s="17"/>
      <c r="B148" s="17"/>
      <c r="C148" s="17"/>
      <c r="D148" s="17"/>
      <c r="E148" s="17"/>
      <c r="F148" s="17"/>
      <c r="G148" s="17"/>
      <c r="H148" s="17"/>
      <c r="I148" s="17"/>
      <c r="J148" s="17"/>
      <c r="K148" s="17">
        <f>SUM(Table1[[#This Row],[Challenge 1]:[Challenge 50]])</f>
        <v>0</v>
      </c>
      <c r="L148" s="88">
        <f>SUM(Table1[[#This Row],[Club 1]:[Club 50]])</f>
        <v>0</v>
      </c>
      <c r="M148" s="88">
        <f>SUM(Table1[[#This Row],[Intra-school sports 1]:[Intra-school sports 50]])</f>
        <v>0</v>
      </c>
      <c r="N148" s="88">
        <f>SUM(Table1[[#This Row],[Inter School sports 1]:[Inter School sports 50]])</f>
        <v>0</v>
      </c>
      <c r="O148" s="17">
        <f>COUNTIF(Table1[[#This Row],[Community club (type name of club(s). All clubs will count as ''1'']],"*")</f>
        <v>0</v>
      </c>
      <c r="P148" s="17">
        <f>IF(OR(Table1[[#This Row],[Total Challenges]]&gt;0,Table1[[#This Row],[Total Ex-C Clubs]]&gt;0,Table1[[#This Row],[Total Intra-School Sports]]&gt;0,Table1[[#This Row],[Total Inter-School Sports]]&gt;0,Table1[[#This Row],[Community Clubs]]&gt;0),1,0)</f>
        <v>0</v>
      </c>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21"/>
    </row>
    <row r="149" spans="1:218" x14ac:dyDescent="0.25">
      <c r="A149" s="17"/>
      <c r="B149" s="17"/>
      <c r="C149" s="17"/>
      <c r="D149" s="17"/>
      <c r="E149" s="17"/>
      <c r="F149" s="17"/>
      <c r="G149" s="17"/>
      <c r="H149" s="17"/>
      <c r="I149" s="17"/>
      <c r="J149" s="17"/>
      <c r="K149" s="17">
        <f>SUM(Table1[[#This Row],[Challenge 1]:[Challenge 50]])</f>
        <v>0</v>
      </c>
      <c r="L149" s="88">
        <f>SUM(Table1[[#This Row],[Club 1]:[Club 50]])</f>
        <v>0</v>
      </c>
      <c r="M149" s="88">
        <f>SUM(Table1[[#This Row],[Intra-school sports 1]:[Intra-school sports 50]])</f>
        <v>0</v>
      </c>
      <c r="N149" s="88">
        <f>SUM(Table1[[#This Row],[Inter School sports 1]:[Inter School sports 50]])</f>
        <v>0</v>
      </c>
      <c r="O149" s="17">
        <f>COUNTIF(Table1[[#This Row],[Community club (type name of club(s). All clubs will count as ''1'']],"*")</f>
        <v>0</v>
      </c>
      <c r="P149" s="17">
        <f>IF(OR(Table1[[#This Row],[Total Challenges]]&gt;0,Table1[[#This Row],[Total Ex-C Clubs]]&gt;0,Table1[[#This Row],[Total Intra-School Sports]]&gt;0,Table1[[#This Row],[Total Inter-School Sports]]&gt;0,Table1[[#This Row],[Community Clubs]]&gt;0),1,0)</f>
        <v>0</v>
      </c>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21"/>
    </row>
    <row r="150" spans="1:218" x14ac:dyDescent="0.25">
      <c r="A150" s="17"/>
      <c r="B150" s="17"/>
      <c r="C150" s="17"/>
      <c r="D150" s="17"/>
      <c r="E150" s="17"/>
      <c r="F150" s="17"/>
      <c r="G150" s="17"/>
      <c r="H150" s="17"/>
      <c r="I150" s="17"/>
      <c r="J150" s="17"/>
      <c r="K150" s="17">
        <f>SUM(Table1[[#This Row],[Challenge 1]:[Challenge 50]])</f>
        <v>0</v>
      </c>
      <c r="L150" s="88">
        <f>SUM(Table1[[#This Row],[Club 1]:[Club 50]])</f>
        <v>0</v>
      </c>
      <c r="M150" s="88">
        <f>SUM(Table1[[#This Row],[Intra-school sports 1]:[Intra-school sports 50]])</f>
        <v>0</v>
      </c>
      <c r="N150" s="88">
        <f>SUM(Table1[[#This Row],[Inter School sports 1]:[Inter School sports 50]])</f>
        <v>0</v>
      </c>
      <c r="O150" s="17">
        <f>COUNTIF(Table1[[#This Row],[Community club (type name of club(s). All clubs will count as ''1'']],"*")</f>
        <v>0</v>
      </c>
      <c r="P150" s="17">
        <f>IF(OR(Table1[[#This Row],[Total Challenges]]&gt;0,Table1[[#This Row],[Total Ex-C Clubs]]&gt;0,Table1[[#This Row],[Total Intra-School Sports]]&gt;0,Table1[[#This Row],[Total Inter-School Sports]]&gt;0,Table1[[#This Row],[Community Clubs]]&gt;0),1,0)</f>
        <v>0</v>
      </c>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21"/>
    </row>
    <row r="151" spans="1:218" x14ac:dyDescent="0.25">
      <c r="A151" s="17"/>
      <c r="B151" s="17"/>
      <c r="C151" s="17"/>
      <c r="D151" s="17"/>
      <c r="E151" s="17"/>
      <c r="F151" s="17"/>
      <c r="G151" s="17"/>
      <c r="H151" s="17"/>
      <c r="I151" s="17"/>
      <c r="J151" s="17"/>
      <c r="K151" s="17">
        <f>SUM(Table1[[#This Row],[Challenge 1]:[Challenge 50]])</f>
        <v>0</v>
      </c>
      <c r="L151" s="88">
        <f>SUM(Table1[[#This Row],[Club 1]:[Club 50]])</f>
        <v>0</v>
      </c>
      <c r="M151" s="88">
        <f>SUM(Table1[[#This Row],[Intra-school sports 1]:[Intra-school sports 50]])</f>
        <v>0</v>
      </c>
      <c r="N151" s="88">
        <f>SUM(Table1[[#This Row],[Inter School sports 1]:[Inter School sports 50]])</f>
        <v>0</v>
      </c>
      <c r="O151" s="17">
        <f>COUNTIF(Table1[[#This Row],[Community club (type name of club(s). All clubs will count as ''1'']],"*")</f>
        <v>0</v>
      </c>
      <c r="P151" s="17">
        <f>IF(OR(Table1[[#This Row],[Total Challenges]]&gt;0,Table1[[#This Row],[Total Ex-C Clubs]]&gt;0,Table1[[#This Row],[Total Intra-School Sports]]&gt;0,Table1[[#This Row],[Total Inter-School Sports]]&gt;0,Table1[[#This Row],[Community Clubs]]&gt;0),1,0)</f>
        <v>0</v>
      </c>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21"/>
    </row>
    <row r="152" spans="1:218" x14ac:dyDescent="0.25">
      <c r="A152" s="17"/>
      <c r="B152" s="17"/>
      <c r="C152" s="17"/>
      <c r="D152" s="17"/>
      <c r="E152" s="17"/>
      <c r="F152" s="17"/>
      <c r="G152" s="17"/>
      <c r="H152" s="17"/>
      <c r="I152" s="17"/>
      <c r="J152" s="17"/>
      <c r="K152" s="17">
        <f>SUM(Table1[[#This Row],[Challenge 1]:[Challenge 50]])</f>
        <v>0</v>
      </c>
      <c r="L152" s="88">
        <f>SUM(Table1[[#This Row],[Club 1]:[Club 50]])</f>
        <v>0</v>
      </c>
      <c r="M152" s="88">
        <f>SUM(Table1[[#This Row],[Intra-school sports 1]:[Intra-school sports 50]])</f>
        <v>0</v>
      </c>
      <c r="N152" s="88">
        <f>SUM(Table1[[#This Row],[Inter School sports 1]:[Inter School sports 50]])</f>
        <v>0</v>
      </c>
      <c r="O152" s="17">
        <f>COUNTIF(Table1[[#This Row],[Community club (type name of club(s). All clubs will count as ''1'']],"*")</f>
        <v>0</v>
      </c>
      <c r="P152" s="17">
        <f>IF(OR(Table1[[#This Row],[Total Challenges]]&gt;0,Table1[[#This Row],[Total Ex-C Clubs]]&gt;0,Table1[[#This Row],[Total Intra-School Sports]]&gt;0,Table1[[#This Row],[Total Inter-School Sports]]&gt;0,Table1[[#This Row],[Community Clubs]]&gt;0),1,0)</f>
        <v>0</v>
      </c>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21"/>
    </row>
    <row r="153" spans="1:218" x14ac:dyDescent="0.25">
      <c r="A153" s="17"/>
      <c r="B153" s="17"/>
      <c r="C153" s="17"/>
      <c r="D153" s="17"/>
      <c r="E153" s="17"/>
      <c r="F153" s="17"/>
      <c r="G153" s="17"/>
      <c r="H153" s="17"/>
      <c r="I153" s="17"/>
      <c r="J153" s="17"/>
      <c r="K153" s="17">
        <f>SUM(Table1[[#This Row],[Challenge 1]:[Challenge 50]])</f>
        <v>0</v>
      </c>
      <c r="L153" s="88">
        <f>SUM(Table1[[#This Row],[Club 1]:[Club 50]])</f>
        <v>0</v>
      </c>
      <c r="M153" s="88">
        <f>SUM(Table1[[#This Row],[Intra-school sports 1]:[Intra-school sports 50]])</f>
        <v>0</v>
      </c>
      <c r="N153" s="88">
        <f>SUM(Table1[[#This Row],[Inter School sports 1]:[Inter School sports 50]])</f>
        <v>0</v>
      </c>
      <c r="O153" s="17">
        <f>COUNTIF(Table1[[#This Row],[Community club (type name of club(s). All clubs will count as ''1'']],"*")</f>
        <v>0</v>
      </c>
      <c r="P153" s="17">
        <f>IF(OR(Table1[[#This Row],[Total Challenges]]&gt;0,Table1[[#This Row],[Total Ex-C Clubs]]&gt;0,Table1[[#This Row],[Total Intra-School Sports]]&gt;0,Table1[[#This Row],[Total Inter-School Sports]]&gt;0,Table1[[#This Row],[Community Clubs]]&gt;0),1,0)</f>
        <v>0</v>
      </c>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21"/>
    </row>
    <row r="154" spans="1:218" x14ac:dyDescent="0.25">
      <c r="A154" s="17"/>
      <c r="B154" s="17"/>
      <c r="C154" s="17"/>
      <c r="D154" s="17"/>
      <c r="E154" s="17"/>
      <c r="F154" s="17"/>
      <c r="G154" s="17"/>
      <c r="H154" s="17"/>
      <c r="I154" s="17"/>
      <c r="J154" s="17"/>
      <c r="K154" s="17">
        <f>SUM(Table1[[#This Row],[Challenge 1]:[Challenge 50]])</f>
        <v>0</v>
      </c>
      <c r="L154" s="88">
        <f>SUM(Table1[[#This Row],[Club 1]:[Club 50]])</f>
        <v>0</v>
      </c>
      <c r="M154" s="88">
        <f>SUM(Table1[[#This Row],[Intra-school sports 1]:[Intra-school sports 50]])</f>
        <v>0</v>
      </c>
      <c r="N154" s="88">
        <f>SUM(Table1[[#This Row],[Inter School sports 1]:[Inter School sports 50]])</f>
        <v>0</v>
      </c>
      <c r="O154" s="17">
        <f>COUNTIF(Table1[[#This Row],[Community club (type name of club(s). All clubs will count as ''1'']],"*")</f>
        <v>0</v>
      </c>
      <c r="P154" s="17">
        <f>IF(OR(Table1[[#This Row],[Total Challenges]]&gt;0,Table1[[#This Row],[Total Ex-C Clubs]]&gt;0,Table1[[#This Row],[Total Intra-School Sports]]&gt;0,Table1[[#This Row],[Total Inter-School Sports]]&gt;0,Table1[[#This Row],[Community Clubs]]&gt;0),1,0)</f>
        <v>0</v>
      </c>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21"/>
    </row>
    <row r="155" spans="1:218" x14ac:dyDescent="0.25">
      <c r="A155" s="17"/>
      <c r="B155" s="17"/>
      <c r="C155" s="17"/>
      <c r="D155" s="17"/>
      <c r="E155" s="17"/>
      <c r="F155" s="17"/>
      <c r="G155" s="17"/>
      <c r="H155" s="17"/>
      <c r="I155" s="17"/>
      <c r="J155" s="17"/>
      <c r="K155" s="17">
        <f>SUM(Table1[[#This Row],[Challenge 1]:[Challenge 50]])</f>
        <v>0</v>
      </c>
      <c r="L155" s="88">
        <f>SUM(Table1[[#This Row],[Club 1]:[Club 50]])</f>
        <v>0</v>
      </c>
      <c r="M155" s="88">
        <f>SUM(Table1[[#This Row],[Intra-school sports 1]:[Intra-school sports 50]])</f>
        <v>0</v>
      </c>
      <c r="N155" s="88">
        <f>SUM(Table1[[#This Row],[Inter School sports 1]:[Inter School sports 50]])</f>
        <v>0</v>
      </c>
      <c r="O155" s="17">
        <f>COUNTIF(Table1[[#This Row],[Community club (type name of club(s). All clubs will count as ''1'']],"*")</f>
        <v>0</v>
      </c>
      <c r="P155" s="17">
        <f>IF(OR(Table1[[#This Row],[Total Challenges]]&gt;0,Table1[[#This Row],[Total Ex-C Clubs]]&gt;0,Table1[[#This Row],[Total Intra-School Sports]]&gt;0,Table1[[#This Row],[Total Inter-School Sports]]&gt;0,Table1[[#This Row],[Community Clubs]]&gt;0),1,0)</f>
        <v>0</v>
      </c>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21"/>
    </row>
    <row r="156" spans="1:218" x14ac:dyDescent="0.25">
      <c r="A156" s="17"/>
      <c r="B156" s="17"/>
      <c r="C156" s="17"/>
      <c r="D156" s="17"/>
      <c r="E156" s="17"/>
      <c r="F156" s="17"/>
      <c r="G156" s="17"/>
      <c r="H156" s="17"/>
      <c r="I156" s="17"/>
      <c r="J156" s="17"/>
      <c r="K156" s="17">
        <f>SUM(Table1[[#This Row],[Challenge 1]:[Challenge 50]])</f>
        <v>0</v>
      </c>
      <c r="L156" s="88">
        <f>SUM(Table1[[#This Row],[Club 1]:[Club 50]])</f>
        <v>0</v>
      </c>
      <c r="M156" s="88">
        <f>SUM(Table1[[#This Row],[Intra-school sports 1]:[Intra-school sports 50]])</f>
        <v>0</v>
      </c>
      <c r="N156" s="88">
        <f>SUM(Table1[[#This Row],[Inter School sports 1]:[Inter School sports 50]])</f>
        <v>0</v>
      </c>
      <c r="O156" s="17">
        <f>COUNTIF(Table1[[#This Row],[Community club (type name of club(s). All clubs will count as ''1'']],"*")</f>
        <v>0</v>
      </c>
      <c r="P156" s="17">
        <f>IF(OR(Table1[[#This Row],[Total Challenges]]&gt;0,Table1[[#This Row],[Total Ex-C Clubs]]&gt;0,Table1[[#This Row],[Total Intra-School Sports]]&gt;0,Table1[[#This Row],[Total Inter-School Sports]]&gt;0,Table1[[#This Row],[Community Clubs]]&gt;0),1,0)</f>
        <v>0</v>
      </c>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21"/>
    </row>
    <row r="157" spans="1:218" x14ac:dyDescent="0.25">
      <c r="A157" s="17"/>
      <c r="B157" s="17"/>
      <c r="C157" s="17"/>
      <c r="D157" s="17"/>
      <c r="E157" s="17"/>
      <c r="F157" s="17"/>
      <c r="G157" s="17"/>
      <c r="H157" s="17"/>
      <c r="I157" s="17"/>
      <c r="J157" s="17"/>
      <c r="K157" s="17">
        <f>SUM(Table1[[#This Row],[Challenge 1]:[Challenge 50]])</f>
        <v>0</v>
      </c>
      <c r="L157" s="88">
        <f>SUM(Table1[[#This Row],[Club 1]:[Club 50]])</f>
        <v>0</v>
      </c>
      <c r="M157" s="88">
        <f>SUM(Table1[[#This Row],[Intra-school sports 1]:[Intra-school sports 50]])</f>
        <v>0</v>
      </c>
      <c r="N157" s="88">
        <f>SUM(Table1[[#This Row],[Inter School sports 1]:[Inter School sports 50]])</f>
        <v>0</v>
      </c>
      <c r="O157" s="17">
        <f>COUNTIF(Table1[[#This Row],[Community club (type name of club(s). All clubs will count as ''1'']],"*")</f>
        <v>0</v>
      </c>
      <c r="P157" s="17">
        <f>IF(OR(Table1[[#This Row],[Total Challenges]]&gt;0,Table1[[#This Row],[Total Ex-C Clubs]]&gt;0,Table1[[#This Row],[Total Intra-School Sports]]&gt;0,Table1[[#This Row],[Total Inter-School Sports]]&gt;0,Table1[[#This Row],[Community Clubs]]&gt;0),1,0)</f>
        <v>0</v>
      </c>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21"/>
    </row>
    <row r="158" spans="1:218" x14ac:dyDescent="0.25">
      <c r="A158" s="17"/>
      <c r="B158" s="17"/>
      <c r="C158" s="17"/>
      <c r="D158" s="17"/>
      <c r="E158" s="17"/>
      <c r="F158" s="17"/>
      <c r="G158" s="17"/>
      <c r="H158" s="17"/>
      <c r="I158" s="17"/>
      <c r="J158" s="17"/>
      <c r="K158" s="17">
        <f>SUM(Table1[[#This Row],[Challenge 1]:[Challenge 50]])</f>
        <v>0</v>
      </c>
      <c r="L158" s="88">
        <f>SUM(Table1[[#This Row],[Club 1]:[Club 50]])</f>
        <v>0</v>
      </c>
      <c r="M158" s="88">
        <f>SUM(Table1[[#This Row],[Intra-school sports 1]:[Intra-school sports 50]])</f>
        <v>0</v>
      </c>
      <c r="N158" s="88">
        <f>SUM(Table1[[#This Row],[Inter School sports 1]:[Inter School sports 50]])</f>
        <v>0</v>
      </c>
      <c r="O158" s="17">
        <f>COUNTIF(Table1[[#This Row],[Community club (type name of club(s). All clubs will count as ''1'']],"*")</f>
        <v>0</v>
      </c>
      <c r="P158" s="17">
        <f>IF(OR(Table1[[#This Row],[Total Challenges]]&gt;0,Table1[[#This Row],[Total Ex-C Clubs]]&gt;0,Table1[[#This Row],[Total Intra-School Sports]]&gt;0,Table1[[#This Row],[Total Inter-School Sports]]&gt;0,Table1[[#This Row],[Community Clubs]]&gt;0),1,0)</f>
        <v>0</v>
      </c>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21"/>
    </row>
    <row r="159" spans="1:218" x14ac:dyDescent="0.25">
      <c r="A159" s="17"/>
      <c r="B159" s="17"/>
      <c r="C159" s="17"/>
      <c r="D159" s="17"/>
      <c r="E159" s="17"/>
      <c r="F159" s="17"/>
      <c r="G159" s="17"/>
      <c r="H159" s="17"/>
      <c r="I159" s="17"/>
      <c r="J159" s="17"/>
      <c r="K159" s="17">
        <f>SUM(Table1[[#This Row],[Challenge 1]:[Challenge 50]])</f>
        <v>0</v>
      </c>
      <c r="L159" s="88">
        <f>SUM(Table1[[#This Row],[Club 1]:[Club 50]])</f>
        <v>0</v>
      </c>
      <c r="M159" s="88">
        <f>SUM(Table1[[#This Row],[Intra-school sports 1]:[Intra-school sports 50]])</f>
        <v>0</v>
      </c>
      <c r="N159" s="88">
        <f>SUM(Table1[[#This Row],[Inter School sports 1]:[Inter School sports 50]])</f>
        <v>0</v>
      </c>
      <c r="O159" s="17">
        <f>COUNTIF(Table1[[#This Row],[Community club (type name of club(s). All clubs will count as ''1'']],"*")</f>
        <v>0</v>
      </c>
      <c r="P159" s="17">
        <f>IF(OR(Table1[[#This Row],[Total Challenges]]&gt;0,Table1[[#This Row],[Total Ex-C Clubs]]&gt;0,Table1[[#This Row],[Total Intra-School Sports]]&gt;0,Table1[[#This Row],[Total Inter-School Sports]]&gt;0,Table1[[#This Row],[Community Clubs]]&gt;0),1,0)</f>
        <v>0</v>
      </c>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21"/>
    </row>
    <row r="160" spans="1:218" x14ac:dyDescent="0.25">
      <c r="A160" s="17"/>
      <c r="B160" s="17"/>
      <c r="C160" s="17"/>
      <c r="D160" s="17"/>
      <c r="E160" s="17"/>
      <c r="F160" s="17"/>
      <c r="G160" s="17"/>
      <c r="H160" s="17"/>
      <c r="I160" s="17"/>
      <c r="J160" s="17"/>
      <c r="K160" s="17">
        <f>SUM(Table1[[#This Row],[Challenge 1]:[Challenge 50]])</f>
        <v>0</v>
      </c>
      <c r="L160" s="88">
        <f>SUM(Table1[[#This Row],[Club 1]:[Club 50]])</f>
        <v>0</v>
      </c>
      <c r="M160" s="88">
        <f>SUM(Table1[[#This Row],[Intra-school sports 1]:[Intra-school sports 50]])</f>
        <v>0</v>
      </c>
      <c r="N160" s="88">
        <f>SUM(Table1[[#This Row],[Inter School sports 1]:[Inter School sports 50]])</f>
        <v>0</v>
      </c>
      <c r="O160" s="17">
        <f>COUNTIF(Table1[[#This Row],[Community club (type name of club(s). All clubs will count as ''1'']],"*")</f>
        <v>0</v>
      </c>
      <c r="P160" s="17">
        <f>IF(OR(Table1[[#This Row],[Total Challenges]]&gt;0,Table1[[#This Row],[Total Ex-C Clubs]]&gt;0,Table1[[#This Row],[Total Intra-School Sports]]&gt;0,Table1[[#This Row],[Total Inter-School Sports]]&gt;0,Table1[[#This Row],[Community Clubs]]&gt;0),1,0)</f>
        <v>0</v>
      </c>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21"/>
    </row>
    <row r="161" spans="1:218" x14ac:dyDescent="0.25">
      <c r="A161" s="17"/>
      <c r="B161" s="17"/>
      <c r="C161" s="17"/>
      <c r="D161" s="17"/>
      <c r="E161" s="17"/>
      <c r="F161" s="17"/>
      <c r="G161" s="17"/>
      <c r="H161" s="17"/>
      <c r="I161" s="17"/>
      <c r="J161" s="17"/>
      <c r="K161" s="17">
        <f>SUM(Table1[[#This Row],[Challenge 1]:[Challenge 50]])</f>
        <v>0</v>
      </c>
      <c r="L161" s="88">
        <f>SUM(Table1[[#This Row],[Club 1]:[Club 50]])</f>
        <v>0</v>
      </c>
      <c r="M161" s="88">
        <f>SUM(Table1[[#This Row],[Intra-school sports 1]:[Intra-school sports 50]])</f>
        <v>0</v>
      </c>
      <c r="N161" s="88">
        <f>SUM(Table1[[#This Row],[Inter School sports 1]:[Inter School sports 50]])</f>
        <v>0</v>
      </c>
      <c r="O161" s="17">
        <f>COUNTIF(Table1[[#This Row],[Community club (type name of club(s). All clubs will count as ''1'']],"*")</f>
        <v>0</v>
      </c>
      <c r="P161" s="17">
        <f>IF(OR(Table1[[#This Row],[Total Challenges]]&gt;0,Table1[[#This Row],[Total Ex-C Clubs]]&gt;0,Table1[[#This Row],[Total Intra-School Sports]]&gt;0,Table1[[#This Row],[Total Inter-School Sports]]&gt;0,Table1[[#This Row],[Community Clubs]]&gt;0),1,0)</f>
        <v>0</v>
      </c>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21"/>
    </row>
    <row r="162" spans="1:218" x14ac:dyDescent="0.25">
      <c r="A162" s="17"/>
      <c r="B162" s="17"/>
      <c r="C162" s="17"/>
      <c r="D162" s="17"/>
      <c r="E162" s="17"/>
      <c r="F162" s="17"/>
      <c r="G162" s="17"/>
      <c r="H162" s="17"/>
      <c r="I162" s="17"/>
      <c r="J162" s="17"/>
      <c r="K162" s="17">
        <f>SUM(Table1[[#This Row],[Challenge 1]:[Challenge 50]])</f>
        <v>0</v>
      </c>
      <c r="L162" s="88">
        <f>SUM(Table1[[#This Row],[Club 1]:[Club 50]])</f>
        <v>0</v>
      </c>
      <c r="M162" s="88">
        <f>SUM(Table1[[#This Row],[Intra-school sports 1]:[Intra-school sports 50]])</f>
        <v>0</v>
      </c>
      <c r="N162" s="88">
        <f>SUM(Table1[[#This Row],[Inter School sports 1]:[Inter School sports 50]])</f>
        <v>0</v>
      </c>
      <c r="O162" s="17">
        <f>COUNTIF(Table1[[#This Row],[Community club (type name of club(s). All clubs will count as ''1'']],"*")</f>
        <v>0</v>
      </c>
      <c r="P162" s="17">
        <f>IF(OR(Table1[[#This Row],[Total Challenges]]&gt;0,Table1[[#This Row],[Total Ex-C Clubs]]&gt;0,Table1[[#This Row],[Total Intra-School Sports]]&gt;0,Table1[[#This Row],[Total Inter-School Sports]]&gt;0,Table1[[#This Row],[Community Clubs]]&gt;0),1,0)</f>
        <v>0</v>
      </c>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21"/>
    </row>
    <row r="163" spans="1:218" x14ac:dyDescent="0.25">
      <c r="A163" s="17"/>
      <c r="B163" s="17"/>
      <c r="C163" s="17"/>
      <c r="D163" s="17"/>
      <c r="E163" s="17"/>
      <c r="F163" s="17"/>
      <c r="G163" s="17"/>
      <c r="H163" s="17"/>
      <c r="I163" s="17"/>
      <c r="J163" s="17"/>
      <c r="K163" s="17">
        <f>SUM(Table1[[#This Row],[Challenge 1]:[Challenge 50]])</f>
        <v>0</v>
      </c>
      <c r="L163" s="88">
        <f>SUM(Table1[[#This Row],[Club 1]:[Club 50]])</f>
        <v>0</v>
      </c>
      <c r="M163" s="88">
        <f>SUM(Table1[[#This Row],[Intra-school sports 1]:[Intra-school sports 50]])</f>
        <v>0</v>
      </c>
      <c r="N163" s="88">
        <f>SUM(Table1[[#This Row],[Inter School sports 1]:[Inter School sports 50]])</f>
        <v>0</v>
      </c>
      <c r="O163" s="17">
        <f>COUNTIF(Table1[[#This Row],[Community club (type name of club(s). All clubs will count as ''1'']],"*")</f>
        <v>0</v>
      </c>
      <c r="P163" s="17">
        <f>IF(OR(Table1[[#This Row],[Total Challenges]]&gt;0,Table1[[#This Row],[Total Ex-C Clubs]]&gt;0,Table1[[#This Row],[Total Intra-School Sports]]&gt;0,Table1[[#This Row],[Total Inter-School Sports]]&gt;0,Table1[[#This Row],[Community Clubs]]&gt;0),1,0)</f>
        <v>0</v>
      </c>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21"/>
    </row>
    <row r="164" spans="1:218" x14ac:dyDescent="0.25">
      <c r="A164" s="17"/>
      <c r="B164" s="17"/>
      <c r="C164" s="17"/>
      <c r="D164" s="17"/>
      <c r="E164" s="17"/>
      <c r="F164" s="17"/>
      <c r="G164" s="17"/>
      <c r="H164" s="17"/>
      <c r="I164" s="17"/>
      <c r="J164" s="17"/>
      <c r="K164" s="17">
        <f>SUM(Table1[[#This Row],[Challenge 1]:[Challenge 50]])</f>
        <v>0</v>
      </c>
      <c r="L164" s="88">
        <f>SUM(Table1[[#This Row],[Club 1]:[Club 50]])</f>
        <v>0</v>
      </c>
      <c r="M164" s="88">
        <f>SUM(Table1[[#This Row],[Intra-school sports 1]:[Intra-school sports 50]])</f>
        <v>0</v>
      </c>
      <c r="N164" s="88">
        <f>SUM(Table1[[#This Row],[Inter School sports 1]:[Inter School sports 50]])</f>
        <v>0</v>
      </c>
      <c r="O164" s="17">
        <f>COUNTIF(Table1[[#This Row],[Community club (type name of club(s). All clubs will count as ''1'']],"*")</f>
        <v>0</v>
      </c>
      <c r="P164" s="17">
        <f>IF(OR(Table1[[#This Row],[Total Challenges]]&gt;0,Table1[[#This Row],[Total Ex-C Clubs]]&gt;0,Table1[[#This Row],[Total Intra-School Sports]]&gt;0,Table1[[#This Row],[Total Inter-School Sports]]&gt;0,Table1[[#This Row],[Community Clubs]]&gt;0),1,0)</f>
        <v>0</v>
      </c>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21"/>
    </row>
    <row r="165" spans="1:218" x14ac:dyDescent="0.25">
      <c r="A165" s="17"/>
      <c r="B165" s="17"/>
      <c r="C165" s="17"/>
      <c r="D165" s="17"/>
      <c r="E165" s="17"/>
      <c r="F165" s="17"/>
      <c r="G165" s="17"/>
      <c r="H165" s="17"/>
      <c r="I165" s="17"/>
      <c r="J165" s="17"/>
      <c r="K165" s="17">
        <f>SUM(Table1[[#This Row],[Challenge 1]:[Challenge 50]])</f>
        <v>0</v>
      </c>
      <c r="L165" s="88">
        <f>SUM(Table1[[#This Row],[Club 1]:[Club 50]])</f>
        <v>0</v>
      </c>
      <c r="M165" s="88">
        <f>SUM(Table1[[#This Row],[Intra-school sports 1]:[Intra-school sports 50]])</f>
        <v>0</v>
      </c>
      <c r="N165" s="88">
        <f>SUM(Table1[[#This Row],[Inter School sports 1]:[Inter School sports 50]])</f>
        <v>0</v>
      </c>
      <c r="O165" s="17">
        <f>COUNTIF(Table1[[#This Row],[Community club (type name of club(s). All clubs will count as ''1'']],"*")</f>
        <v>0</v>
      </c>
      <c r="P165" s="17">
        <f>IF(OR(Table1[[#This Row],[Total Challenges]]&gt;0,Table1[[#This Row],[Total Ex-C Clubs]]&gt;0,Table1[[#This Row],[Total Intra-School Sports]]&gt;0,Table1[[#This Row],[Total Inter-School Sports]]&gt;0,Table1[[#This Row],[Community Clubs]]&gt;0),1,0)</f>
        <v>0</v>
      </c>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21"/>
    </row>
    <row r="166" spans="1:218" x14ac:dyDescent="0.25">
      <c r="A166" s="17"/>
      <c r="B166" s="17"/>
      <c r="C166" s="17"/>
      <c r="D166" s="17"/>
      <c r="E166" s="17"/>
      <c r="F166" s="17"/>
      <c r="G166" s="17"/>
      <c r="H166" s="17"/>
      <c r="I166" s="17"/>
      <c r="J166" s="17"/>
      <c r="K166" s="17">
        <f>SUM(Table1[[#This Row],[Challenge 1]:[Challenge 50]])</f>
        <v>0</v>
      </c>
      <c r="L166" s="88">
        <f>SUM(Table1[[#This Row],[Club 1]:[Club 50]])</f>
        <v>0</v>
      </c>
      <c r="M166" s="88">
        <f>SUM(Table1[[#This Row],[Intra-school sports 1]:[Intra-school sports 50]])</f>
        <v>0</v>
      </c>
      <c r="N166" s="88">
        <f>SUM(Table1[[#This Row],[Inter School sports 1]:[Inter School sports 50]])</f>
        <v>0</v>
      </c>
      <c r="O166" s="17">
        <f>COUNTIF(Table1[[#This Row],[Community club (type name of club(s). All clubs will count as ''1'']],"*")</f>
        <v>0</v>
      </c>
      <c r="P166" s="17">
        <f>IF(OR(Table1[[#This Row],[Total Challenges]]&gt;0,Table1[[#This Row],[Total Ex-C Clubs]]&gt;0,Table1[[#This Row],[Total Intra-School Sports]]&gt;0,Table1[[#This Row],[Total Inter-School Sports]]&gt;0,Table1[[#This Row],[Community Clubs]]&gt;0),1,0)</f>
        <v>0</v>
      </c>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21"/>
    </row>
    <row r="167" spans="1:218" x14ac:dyDescent="0.25">
      <c r="A167" s="17"/>
      <c r="B167" s="17"/>
      <c r="C167" s="17"/>
      <c r="D167" s="17"/>
      <c r="E167" s="17"/>
      <c r="F167" s="17"/>
      <c r="G167" s="17"/>
      <c r="H167" s="17"/>
      <c r="I167" s="17"/>
      <c r="J167" s="17"/>
      <c r="K167" s="17">
        <f>SUM(Table1[[#This Row],[Challenge 1]:[Challenge 50]])</f>
        <v>0</v>
      </c>
      <c r="L167" s="88">
        <f>SUM(Table1[[#This Row],[Club 1]:[Club 50]])</f>
        <v>0</v>
      </c>
      <c r="M167" s="88">
        <f>SUM(Table1[[#This Row],[Intra-school sports 1]:[Intra-school sports 50]])</f>
        <v>0</v>
      </c>
      <c r="N167" s="88">
        <f>SUM(Table1[[#This Row],[Inter School sports 1]:[Inter School sports 50]])</f>
        <v>0</v>
      </c>
      <c r="O167" s="17">
        <f>COUNTIF(Table1[[#This Row],[Community club (type name of club(s). All clubs will count as ''1'']],"*")</f>
        <v>0</v>
      </c>
      <c r="P167" s="17">
        <f>IF(OR(Table1[[#This Row],[Total Challenges]]&gt;0,Table1[[#This Row],[Total Ex-C Clubs]]&gt;0,Table1[[#This Row],[Total Intra-School Sports]]&gt;0,Table1[[#This Row],[Total Inter-School Sports]]&gt;0,Table1[[#This Row],[Community Clubs]]&gt;0),1,0)</f>
        <v>0</v>
      </c>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21"/>
    </row>
    <row r="168" spans="1:218" x14ac:dyDescent="0.25">
      <c r="A168" s="17"/>
      <c r="B168" s="17"/>
      <c r="C168" s="17"/>
      <c r="D168" s="17"/>
      <c r="E168" s="17"/>
      <c r="F168" s="17"/>
      <c r="G168" s="17"/>
      <c r="H168" s="17"/>
      <c r="I168" s="17"/>
      <c r="J168" s="17"/>
      <c r="K168" s="17">
        <f>SUM(Table1[[#This Row],[Challenge 1]:[Challenge 50]])</f>
        <v>0</v>
      </c>
      <c r="L168" s="88">
        <f>SUM(Table1[[#This Row],[Club 1]:[Club 50]])</f>
        <v>0</v>
      </c>
      <c r="M168" s="88">
        <f>SUM(Table1[[#This Row],[Intra-school sports 1]:[Intra-school sports 50]])</f>
        <v>0</v>
      </c>
      <c r="N168" s="88">
        <f>SUM(Table1[[#This Row],[Inter School sports 1]:[Inter School sports 50]])</f>
        <v>0</v>
      </c>
      <c r="O168" s="17">
        <f>COUNTIF(Table1[[#This Row],[Community club (type name of club(s). All clubs will count as ''1'']],"*")</f>
        <v>0</v>
      </c>
      <c r="P168" s="17">
        <f>IF(OR(Table1[[#This Row],[Total Challenges]]&gt;0,Table1[[#This Row],[Total Ex-C Clubs]]&gt;0,Table1[[#This Row],[Total Intra-School Sports]]&gt;0,Table1[[#This Row],[Total Inter-School Sports]]&gt;0,Table1[[#This Row],[Community Clubs]]&gt;0),1,0)</f>
        <v>0</v>
      </c>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21"/>
    </row>
    <row r="169" spans="1:218" x14ac:dyDescent="0.25">
      <c r="K169" s="91">
        <f>SUM(Table1[[#This Row],[Challenge 1]:[Challenge 50]])</f>
        <v>0</v>
      </c>
      <c r="L169" s="2">
        <f>SUM(Table1[[#This Row],[Club 1]:[Club 50]])</f>
        <v>0</v>
      </c>
      <c r="M169" s="2">
        <f>SUM(Table1[[#This Row],[Intra-school sports 1]:[Intra-school sports 50]])</f>
        <v>0</v>
      </c>
      <c r="N169" s="2">
        <f>SUM(Table1[[#This Row],[Inter School sports 1]:[Inter School sports 50]])</f>
        <v>0</v>
      </c>
      <c r="O169" s="91">
        <f>COUNTIF(Table1[[#This Row],[Community club (type name of club(s). All clubs will count as ''1'']],"*")</f>
        <v>0</v>
      </c>
      <c r="P169" s="17">
        <f>IF(OR(Table1[[#This Row],[Total Challenges]]&gt;0,Table1[[#This Row],[Total Ex-C Clubs]]&gt;0,Table1[[#This Row],[Total Intra-School Sports]]&gt;0,Table1[[#This Row],[Total Inter-School Sports]]&gt;0,Table1[[#This Row],[Community Clubs]]&gt;0),1,0)</f>
        <v>0</v>
      </c>
      <c r="HI169"/>
      <c r="HJ169" s="19"/>
    </row>
    <row r="170" spans="1:218" x14ac:dyDescent="0.25">
      <c r="K170" s="91">
        <f>SUM(Table1[[#This Row],[Challenge 1]:[Challenge 50]])</f>
        <v>0</v>
      </c>
      <c r="L170" s="2">
        <f>SUM(Table1[[#This Row],[Club 1]:[Club 50]])</f>
        <v>0</v>
      </c>
      <c r="M170" s="2">
        <f>SUM(Table1[[#This Row],[Intra-school sports 1]:[Intra-school sports 50]])</f>
        <v>0</v>
      </c>
      <c r="N170" s="2">
        <f>SUM(Table1[[#This Row],[Inter School sports 1]:[Inter School sports 50]])</f>
        <v>0</v>
      </c>
      <c r="O170" s="91">
        <f>COUNTIF(Table1[[#This Row],[Community club (type name of club(s). All clubs will count as ''1'']],"*")</f>
        <v>0</v>
      </c>
      <c r="P170" s="17">
        <f>IF(OR(Table1[[#This Row],[Total Challenges]]&gt;0,Table1[[#This Row],[Total Ex-C Clubs]]&gt;0,Table1[[#This Row],[Total Intra-School Sports]]&gt;0,Table1[[#This Row],[Total Inter-School Sports]]&gt;0,Table1[[#This Row],[Community Clubs]]&gt;0),1,0)</f>
        <v>0</v>
      </c>
      <c r="HI170"/>
      <c r="HJ170" s="19"/>
    </row>
    <row r="171" spans="1:218" x14ac:dyDescent="0.25">
      <c r="K171" s="91">
        <f>SUM(Table1[[#This Row],[Challenge 1]:[Challenge 50]])</f>
        <v>0</v>
      </c>
      <c r="L171" s="2">
        <f>SUM(Table1[[#This Row],[Club 1]:[Club 50]])</f>
        <v>0</v>
      </c>
      <c r="M171" s="2">
        <f>SUM(Table1[[#This Row],[Intra-school sports 1]:[Intra-school sports 50]])</f>
        <v>0</v>
      </c>
      <c r="N171" s="2">
        <f>SUM(Table1[[#This Row],[Inter School sports 1]:[Inter School sports 50]])</f>
        <v>0</v>
      </c>
      <c r="O171" s="91">
        <f>COUNTIF(Table1[[#This Row],[Community club (type name of club(s). All clubs will count as ''1'']],"*")</f>
        <v>0</v>
      </c>
      <c r="P171" s="17">
        <f>IF(OR(Table1[[#This Row],[Total Challenges]]&gt;0,Table1[[#This Row],[Total Ex-C Clubs]]&gt;0,Table1[[#This Row],[Total Intra-School Sports]]&gt;0,Table1[[#This Row],[Total Inter-School Sports]]&gt;0,Table1[[#This Row],[Community Clubs]]&gt;0),1,0)</f>
        <v>0</v>
      </c>
      <c r="HI171"/>
      <c r="HJ171" s="19"/>
    </row>
    <row r="172" spans="1:218" x14ac:dyDescent="0.25">
      <c r="K172" s="91">
        <f>SUM(Table1[[#This Row],[Challenge 1]:[Challenge 50]])</f>
        <v>0</v>
      </c>
      <c r="L172" s="2">
        <f>SUM(Table1[[#This Row],[Club 1]:[Club 50]])</f>
        <v>0</v>
      </c>
      <c r="M172" s="2">
        <f>SUM(Table1[[#This Row],[Intra-school sports 1]:[Intra-school sports 50]])</f>
        <v>0</v>
      </c>
      <c r="N172" s="2">
        <f>SUM(Table1[[#This Row],[Inter School sports 1]:[Inter School sports 50]])</f>
        <v>0</v>
      </c>
      <c r="O172" s="91">
        <f>COUNTIF(Table1[[#This Row],[Community club (type name of club(s). All clubs will count as ''1'']],"*")</f>
        <v>0</v>
      </c>
      <c r="P172" s="17">
        <f>IF(OR(Table1[[#This Row],[Total Challenges]]&gt;0,Table1[[#This Row],[Total Ex-C Clubs]]&gt;0,Table1[[#This Row],[Total Intra-School Sports]]&gt;0,Table1[[#This Row],[Total Inter-School Sports]]&gt;0,Table1[[#This Row],[Community Clubs]]&gt;0),1,0)</f>
        <v>0</v>
      </c>
      <c r="HI172"/>
      <c r="HJ172" s="19"/>
    </row>
    <row r="173" spans="1:218" x14ac:dyDescent="0.25">
      <c r="K173" s="91">
        <f>SUM(Table1[[#This Row],[Challenge 1]:[Challenge 50]])</f>
        <v>0</v>
      </c>
      <c r="L173" s="2">
        <f>SUM(Table1[[#This Row],[Club 1]:[Club 50]])</f>
        <v>0</v>
      </c>
      <c r="M173" s="2">
        <f>SUM(Table1[[#This Row],[Intra-school sports 1]:[Intra-school sports 50]])</f>
        <v>0</v>
      </c>
      <c r="N173" s="2">
        <f>SUM(Table1[[#This Row],[Inter School sports 1]:[Inter School sports 50]])</f>
        <v>0</v>
      </c>
      <c r="O173" s="91">
        <f>COUNTIF(Table1[[#This Row],[Community club (type name of club(s). All clubs will count as ''1'']],"*")</f>
        <v>0</v>
      </c>
      <c r="P173" s="17">
        <f>IF(OR(Table1[[#This Row],[Total Challenges]]&gt;0,Table1[[#This Row],[Total Ex-C Clubs]]&gt;0,Table1[[#This Row],[Total Intra-School Sports]]&gt;0,Table1[[#This Row],[Total Inter-School Sports]]&gt;0,Table1[[#This Row],[Community Clubs]]&gt;0),1,0)</f>
        <v>0</v>
      </c>
      <c r="HI173"/>
      <c r="HJ173" s="19"/>
    </row>
    <row r="174" spans="1:218" x14ac:dyDescent="0.25">
      <c r="K174" s="91">
        <f>SUM(Table1[[#This Row],[Challenge 1]:[Challenge 50]])</f>
        <v>0</v>
      </c>
      <c r="L174" s="2">
        <f>SUM(Table1[[#This Row],[Club 1]:[Club 50]])</f>
        <v>0</v>
      </c>
      <c r="M174" s="2">
        <f>SUM(Table1[[#This Row],[Intra-school sports 1]:[Intra-school sports 50]])</f>
        <v>0</v>
      </c>
      <c r="N174" s="2">
        <f>SUM(Table1[[#This Row],[Inter School sports 1]:[Inter School sports 50]])</f>
        <v>0</v>
      </c>
      <c r="O174" s="91">
        <f>COUNTIF(Table1[[#This Row],[Community club (type name of club(s). All clubs will count as ''1'']],"*")</f>
        <v>0</v>
      </c>
      <c r="P174" s="17">
        <f>IF(OR(Table1[[#This Row],[Total Challenges]]&gt;0,Table1[[#This Row],[Total Ex-C Clubs]]&gt;0,Table1[[#This Row],[Total Intra-School Sports]]&gt;0,Table1[[#This Row],[Total Inter-School Sports]]&gt;0,Table1[[#This Row],[Community Clubs]]&gt;0),1,0)</f>
        <v>0</v>
      </c>
      <c r="HI174"/>
      <c r="HJ174" s="19"/>
    </row>
    <row r="175" spans="1:218" x14ac:dyDescent="0.25">
      <c r="K175" s="91">
        <f>SUM(Table1[[#This Row],[Challenge 1]:[Challenge 50]])</f>
        <v>0</v>
      </c>
      <c r="L175" s="2">
        <f>SUM(Table1[[#This Row],[Club 1]:[Club 50]])</f>
        <v>0</v>
      </c>
      <c r="M175" s="2">
        <f>SUM(Table1[[#This Row],[Intra-school sports 1]:[Intra-school sports 50]])</f>
        <v>0</v>
      </c>
      <c r="N175" s="2">
        <f>SUM(Table1[[#This Row],[Inter School sports 1]:[Inter School sports 50]])</f>
        <v>0</v>
      </c>
      <c r="O175" s="91">
        <f>COUNTIF(Table1[[#This Row],[Community club (type name of club(s). All clubs will count as ''1'']],"*")</f>
        <v>0</v>
      </c>
      <c r="P175" s="17">
        <f>IF(OR(Table1[[#This Row],[Total Challenges]]&gt;0,Table1[[#This Row],[Total Ex-C Clubs]]&gt;0,Table1[[#This Row],[Total Intra-School Sports]]&gt;0,Table1[[#This Row],[Total Inter-School Sports]]&gt;0,Table1[[#This Row],[Community Clubs]]&gt;0),1,0)</f>
        <v>0</v>
      </c>
      <c r="HI175"/>
      <c r="HJ175" s="19"/>
    </row>
    <row r="176" spans="1:218" x14ac:dyDescent="0.25">
      <c r="K176" s="91">
        <f>SUM(Table1[[#This Row],[Challenge 1]:[Challenge 50]])</f>
        <v>0</v>
      </c>
      <c r="L176" s="2">
        <f>SUM(Table1[[#This Row],[Club 1]:[Club 50]])</f>
        <v>0</v>
      </c>
      <c r="M176" s="2">
        <f>SUM(Table1[[#This Row],[Intra-school sports 1]:[Intra-school sports 50]])</f>
        <v>0</v>
      </c>
      <c r="N176" s="2">
        <f>SUM(Table1[[#This Row],[Inter School sports 1]:[Inter School sports 50]])</f>
        <v>0</v>
      </c>
      <c r="O176" s="91">
        <f>COUNTIF(Table1[[#This Row],[Community club (type name of club(s). All clubs will count as ''1'']],"*")</f>
        <v>0</v>
      </c>
      <c r="P176" s="17">
        <f>IF(OR(Table1[[#This Row],[Total Challenges]]&gt;0,Table1[[#This Row],[Total Ex-C Clubs]]&gt;0,Table1[[#This Row],[Total Intra-School Sports]]&gt;0,Table1[[#This Row],[Total Inter-School Sports]]&gt;0,Table1[[#This Row],[Community Clubs]]&gt;0),1,0)</f>
        <v>0</v>
      </c>
      <c r="HI176"/>
      <c r="HJ176" s="19"/>
    </row>
    <row r="177" spans="11:218" x14ac:dyDescent="0.25">
      <c r="K177" s="91">
        <f>SUM(Table1[[#This Row],[Challenge 1]:[Challenge 50]])</f>
        <v>0</v>
      </c>
      <c r="L177" s="2">
        <f>SUM(Table1[[#This Row],[Club 1]:[Club 50]])</f>
        <v>0</v>
      </c>
      <c r="M177" s="2">
        <f>SUM(Table1[[#This Row],[Intra-school sports 1]:[Intra-school sports 50]])</f>
        <v>0</v>
      </c>
      <c r="N177" s="2">
        <f>SUM(Table1[[#This Row],[Inter School sports 1]:[Inter School sports 50]])</f>
        <v>0</v>
      </c>
      <c r="O177" s="91">
        <f>COUNTIF(Table1[[#This Row],[Community club (type name of club(s). All clubs will count as ''1'']],"*")</f>
        <v>0</v>
      </c>
      <c r="P177" s="17">
        <f>IF(OR(Table1[[#This Row],[Total Challenges]]&gt;0,Table1[[#This Row],[Total Ex-C Clubs]]&gt;0,Table1[[#This Row],[Total Intra-School Sports]]&gt;0,Table1[[#This Row],[Total Inter-School Sports]]&gt;0,Table1[[#This Row],[Community Clubs]]&gt;0),1,0)</f>
        <v>0</v>
      </c>
      <c r="HI177"/>
      <c r="HJ177" s="19"/>
    </row>
    <row r="178" spans="11:218" x14ac:dyDescent="0.25">
      <c r="K178" s="91">
        <f>SUM(Table1[[#This Row],[Challenge 1]:[Challenge 50]])</f>
        <v>0</v>
      </c>
      <c r="L178" s="2">
        <f>SUM(Table1[[#This Row],[Club 1]:[Club 50]])</f>
        <v>0</v>
      </c>
      <c r="M178" s="2">
        <f>SUM(Table1[[#This Row],[Intra-school sports 1]:[Intra-school sports 50]])</f>
        <v>0</v>
      </c>
      <c r="N178" s="2">
        <f>SUM(Table1[[#This Row],[Inter School sports 1]:[Inter School sports 50]])</f>
        <v>0</v>
      </c>
      <c r="O178" s="91">
        <f>COUNTIF(Table1[[#This Row],[Community club (type name of club(s). All clubs will count as ''1'']],"*")</f>
        <v>0</v>
      </c>
      <c r="P178" s="17">
        <f>IF(OR(Table1[[#This Row],[Total Challenges]]&gt;0,Table1[[#This Row],[Total Ex-C Clubs]]&gt;0,Table1[[#This Row],[Total Intra-School Sports]]&gt;0,Table1[[#This Row],[Total Inter-School Sports]]&gt;0,Table1[[#This Row],[Community Clubs]]&gt;0),1,0)</f>
        <v>0</v>
      </c>
      <c r="HI178"/>
      <c r="HJ178" s="19"/>
    </row>
    <row r="179" spans="11:218" x14ac:dyDescent="0.25">
      <c r="K179" s="91">
        <f>SUM(Table1[[#This Row],[Challenge 1]:[Challenge 50]])</f>
        <v>0</v>
      </c>
      <c r="L179" s="2">
        <f>SUM(Table1[[#This Row],[Club 1]:[Club 50]])</f>
        <v>0</v>
      </c>
      <c r="M179" s="2">
        <f>SUM(Table1[[#This Row],[Intra-school sports 1]:[Intra-school sports 50]])</f>
        <v>0</v>
      </c>
      <c r="N179" s="2">
        <f>SUM(Table1[[#This Row],[Inter School sports 1]:[Inter School sports 50]])</f>
        <v>0</v>
      </c>
      <c r="O179" s="91">
        <f>COUNTIF(Table1[[#This Row],[Community club (type name of club(s). All clubs will count as ''1'']],"*")</f>
        <v>0</v>
      </c>
      <c r="P179" s="17">
        <f>IF(OR(Table1[[#This Row],[Total Challenges]]&gt;0,Table1[[#This Row],[Total Ex-C Clubs]]&gt;0,Table1[[#This Row],[Total Intra-School Sports]]&gt;0,Table1[[#This Row],[Total Inter-School Sports]]&gt;0,Table1[[#This Row],[Community Clubs]]&gt;0),1,0)</f>
        <v>0</v>
      </c>
      <c r="HI179"/>
      <c r="HJ179" s="19"/>
    </row>
    <row r="180" spans="11:218" x14ac:dyDescent="0.25">
      <c r="K180" s="91">
        <f>SUM(Table1[[#This Row],[Challenge 1]:[Challenge 50]])</f>
        <v>0</v>
      </c>
      <c r="L180" s="2">
        <f>SUM(Table1[[#This Row],[Club 1]:[Club 50]])</f>
        <v>0</v>
      </c>
      <c r="M180" s="2">
        <f>SUM(Table1[[#This Row],[Intra-school sports 1]:[Intra-school sports 50]])</f>
        <v>0</v>
      </c>
      <c r="N180" s="2">
        <f>SUM(Table1[[#This Row],[Inter School sports 1]:[Inter School sports 50]])</f>
        <v>0</v>
      </c>
      <c r="O180" s="91">
        <f>COUNTIF(Table1[[#This Row],[Community club (type name of club(s). All clubs will count as ''1'']],"*")</f>
        <v>0</v>
      </c>
      <c r="P180" s="17">
        <f>IF(OR(Table1[[#This Row],[Total Challenges]]&gt;0,Table1[[#This Row],[Total Ex-C Clubs]]&gt;0,Table1[[#This Row],[Total Intra-School Sports]]&gt;0,Table1[[#This Row],[Total Inter-School Sports]]&gt;0,Table1[[#This Row],[Community Clubs]]&gt;0),1,0)</f>
        <v>0</v>
      </c>
      <c r="HI180"/>
      <c r="HJ180" s="19"/>
    </row>
    <row r="181" spans="11:218" x14ac:dyDescent="0.25">
      <c r="K181" s="91">
        <f>SUM(Table1[[#This Row],[Challenge 1]:[Challenge 50]])</f>
        <v>0</v>
      </c>
      <c r="L181" s="2">
        <f>SUM(Table1[[#This Row],[Club 1]:[Club 50]])</f>
        <v>0</v>
      </c>
      <c r="M181" s="2">
        <f>SUM(Table1[[#This Row],[Intra-school sports 1]:[Intra-school sports 50]])</f>
        <v>0</v>
      </c>
      <c r="N181" s="2">
        <f>SUM(Table1[[#This Row],[Inter School sports 1]:[Inter School sports 50]])</f>
        <v>0</v>
      </c>
      <c r="O181" s="91">
        <f>COUNTIF(Table1[[#This Row],[Community club (type name of club(s). All clubs will count as ''1'']],"*")</f>
        <v>0</v>
      </c>
      <c r="P181" s="17">
        <f>IF(OR(Table1[[#This Row],[Total Challenges]]&gt;0,Table1[[#This Row],[Total Ex-C Clubs]]&gt;0,Table1[[#This Row],[Total Intra-School Sports]]&gt;0,Table1[[#This Row],[Total Inter-School Sports]]&gt;0,Table1[[#This Row],[Community Clubs]]&gt;0),1,0)</f>
        <v>0</v>
      </c>
      <c r="HI181"/>
      <c r="HJ181" s="19"/>
    </row>
    <row r="182" spans="11:218" x14ac:dyDescent="0.25">
      <c r="K182" s="91">
        <f>SUM(Table1[[#This Row],[Challenge 1]:[Challenge 50]])</f>
        <v>0</v>
      </c>
      <c r="L182" s="2">
        <f>SUM(Table1[[#This Row],[Club 1]:[Club 50]])</f>
        <v>0</v>
      </c>
      <c r="M182" s="2">
        <f>SUM(Table1[[#This Row],[Intra-school sports 1]:[Intra-school sports 50]])</f>
        <v>0</v>
      </c>
      <c r="N182" s="2">
        <f>SUM(Table1[[#This Row],[Inter School sports 1]:[Inter School sports 50]])</f>
        <v>0</v>
      </c>
      <c r="O182" s="91">
        <f>COUNTIF(Table1[[#This Row],[Community club (type name of club(s). All clubs will count as ''1'']],"*")</f>
        <v>0</v>
      </c>
      <c r="P182" s="17">
        <f>IF(OR(Table1[[#This Row],[Total Challenges]]&gt;0,Table1[[#This Row],[Total Ex-C Clubs]]&gt;0,Table1[[#This Row],[Total Intra-School Sports]]&gt;0,Table1[[#This Row],[Total Inter-School Sports]]&gt;0,Table1[[#This Row],[Community Clubs]]&gt;0),1,0)</f>
        <v>0</v>
      </c>
      <c r="HI182"/>
      <c r="HJ182" s="19"/>
    </row>
    <row r="183" spans="11:218" x14ac:dyDescent="0.25">
      <c r="K183" s="91">
        <f>SUM(Table1[[#This Row],[Challenge 1]:[Challenge 50]])</f>
        <v>0</v>
      </c>
      <c r="L183" s="2">
        <f>SUM(Table1[[#This Row],[Club 1]:[Club 50]])</f>
        <v>0</v>
      </c>
      <c r="M183" s="2">
        <f>SUM(Table1[[#This Row],[Intra-school sports 1]:[Intra-school sports 50]])</f>
        <v>0</v>
      </c>
      <c r="N183" s="2">
        <f>SUM(Table1[[#This Row],[Inter School sports 1]:[Inter School sports 50]])</f>
        <v>0</v>
      </c>
      <c r="O183" s="91">
        <f>COUNTIF(Table1[[#This Row],[Community club (type name of club(s). All clubs will count as ''1'']],"*")</f>
        <v>0</v>
      </c>
      <c r="P183" s="17">
        <f>IF(OR(Table1[[#This Row],[Total Challenges]]&gt;0,Table1[[#This Row],[Total Ex-C Clubs]]&gt;0,Table1[[#This Row],[Total Intra-School Sports]]&gt;0,Table1[[#This Row],[Total Inter-School Sports]]&gt;0,Table1[[#This Row],[Community Clubs]]&gt;0),1,0)</f>
        <v>0</v>
      </c>
      <c r="HI183"/>
      <c r="HJ183" s="19"/>
    </row>
    <row r="184" spans="11:218" x14ac:dyDescent="0.25">
      <c r="K184" s="91">
        <f>SUM(Table1[[#This Row],[Challenge 1]:[Challenge 50]])</f>
        <v>0</v>
      </c>
      <c r="L184" s="2">
        <f>SUM(Table1[[#This Row],[Club 1]:[Club 50]])</f>
        <v>0</v>
      </c>
      <c r="M184" s="2">
        <f>SUM(Table1[[#This Row],[Intra-school sports 1]:[Intra-school sports 50]])</f>
        <v>0</v>
      </c>
      <c r="N184" s="2">
        <f>SUM(Table1[[#This Row],[Inter School sports 1]:[Inter School sports 50]])</f>
        <v>0</v>
      </c>
      <c r="O184" s="91">
        <f>COUNTIF(Table1[[#This Row],[Community club (type name of club(s). All clubs will count as ''1'']],"*")</f>
        <v>0</v>
      </c>
      <c r="P184" s="17">
        <f>IF(OR(Table1[[#This Row],[Total Challenges]]&gt;0,Table1[[#This Row],[Total Ex-C Clubs]]&gt;0,Table1[[#This Row],[Total Intra-School Sports]]&gt;0,Table1[[#This Row],[Total Inter-School Sports]]&gt;0,Table1[[#This Row],[Community Clubs]]&gt;0),1,0)</f>
        <v>0</v>
      </c>
      <c r="HI184"/>
      <c r="HJ184" s="19"/>
    </row>
    <row r="185" spans="11:218" x14ac:dyDescent="0.25">
      <c r="K185" s="91">
        <f>SUM(Table1[[#This Row],[Challenge 1]:[Challenge 50]])</f>
        <v>0</v>
      </c>
      <c r="L185" s="2">
        <f>SUM(Table1[[#This Row],[Club 1]:[Club 50]])</f>
        <v>0</v>
      </c>
      <c r="M185" s="2">
        <f>SUM(Table1[[#This Row],[Intra-school sports 1]:[Intra-school sports 50]])</f>
        <v>0</v>
      </c>
      <c r="N185" s="2">
        <f>SUM(Table1[[#This Row],[Inter School sports 1]:[Inter School sports 50]])</f>
        <v>0</v>
      </c>
      <c r="O185" s="91">
        <f>COUNTIF(Table1[[#This Row],[Community club (type name of club(s). All clubs will count as ''1'']],"*")</f>
        <v>0</v>
      </c>
      <c r="P185" s="17">
        <f>IF(OR(Table1[[#This Row],[Total Challenges]]&gt;0,Table1[[#This Row],[Total Ex-C Clubs]]&gt;0,Table1[[#This Row],[Total Intra-School Sports]]&gt;0,Table1[[#This Row],[Total Inter-School Sports]]&gt;0,Table1[[#This Row],[Community Clubs]]&gt;0),1,0)</f>
        <v>0</v>
      </c>
      <c r="HI185"/>
      <c r="HJ185" s="19"/>
    </row>
    <row r="186" spans="11:218" x14ac:dyDescent="0.25">
      <c r="K186" s="91">
        <f>SUM(Table1[[#This Row],[Challenge 1]:[Challenge 50]])</f>
        <v>0</v>
      </c>
      <c r="L186" s="2">
        <f>SUM(Table1[[#This Row],[Club 1]:[Club 50]])</f>
        <v>0</v>
      </c>
      <c r="M186" s="2">
        <f>SUM(Table1[[#This Row],[Intra-school sports 1]:[Intra-school sports 50]])</f>
        <v>0</v>
      </c>
      <c r="N186" s="2">
        <f>SUM(Table1[[#This Row],[Inter School sports 1]:[Inter School sports 50]])</f>
        <v>0</v>
      </c>
      <c r="O186" s="91">
        <f>COUNTIF(Table1[[#This Row],[Community club (type name of club(s). All clubs will count as ''1'']],"*")</f>
        <v>0</v>
      </c>
      <c r="P186" s="17">
        <f>IF(OR(Table1[[#This Row],[Total Challenges]]&gt;0,Table1[[#This Row],[Total Ex-C Clubs]]&gt;0,Table1[[#This Row],[Total Intra-School Sports]]&gt;0,Table1[[#This Row],[Total Inter-School Sports]]&gt;0,Table1[[#This Row],[Community Clubs]]&gt;0),1,0)</f>
        <v>0</v>
      </c>
      <c r="HI186"/>
      <c r="HJ186" s="19"/>
    </row>
    <row r="187" spans="11:218" x14ac:dyDescent="0.25">
      <c r="K187" s="91">
        <f>SUM(Table1[[#This Row],[Challenge 1]:[Challenge 50]])</f>
        <v>0</v>
      </c>
      <c r="L187" s="2">
        <f>SUM(Table1[[#This Row],[Club 1]:[Club 50]])</f>
        <v>0</v>
      </c>
      <c r="M187" s="2">
        <f>SUM(Table1[[#This Row],[Intra-school sports 1]:[Intra-school sports 50]])</f>
        <v>0</v>
      </c>
      <c r="N187" s="2">
        <f>SUM(Table1[[#This Row],[Inter School sports 1]:[Inter School sports 50]])</f>
        <v>0</v>
      </c>
      <c r="O187" s="91">
        <f>COUNTIF(Table1[[#This Row],[Community club (type name of club(s). All clubs will count as ''1'']],"*")</f>
        <v>0</v>
      </c>
      <c r="P187" s="17">
        <f>IF(OR(Table1[[#This Row],[Total Challenges]]&gt;0,Table1[[#This Row],[Total Ex-C Clubs]]&gt;0,Table1[[#This Row],[Total Intra-School Sports]]&gt;0,Table1[[#This Row],[Total Inter-School Sports]]&gt;0,Table1[[#This Row],[Community Clubs]]&gt;0),1,0)</f>
        <v>0</v>
      </c>
      <c r="HI187"/>
      <c r="HJ187" s="19"/>
    </row>
    <row r="188" spans="11:218" x14ac:dyDescent="0.25">
      <c r="K188" s="91">
        <f>SUM(Table1[[#This Row],[Challenge 1]:[Challenge 50]])</f>
        <v>0</v>
      </c>
      <c r="L188" s="2">
        <f>SUM(Table1[[#This Row],[Club 1]:[Club 50]])</f>
        <v>0</v>
      </c>
      <c r="M188" s="2">
        <f>SUM(Table1[[#This Row],[Intra-school sports 1]:[Intra-school sports 50]])</f>
        <v>0</v>
      </c>
      <c r="N188" s="2">
        <f>SUM(Table1[[#This Row],[Inter School sports 1]:[Inter School sports 50]])</f>
        <v>0</v>
      </c>
      <c r="O188" s="91">
        <f>COUNTIF(Table1[[#This Row],[Community club (type name of club(s). All clubs will count as ''1'']],"*")</f>
        <v>0</v>
      </c>
      <c r="P188" s="17">
        <f>IF(OR(Table1[[#This Row],[Total Challenges]]&gt;0,Table1[[#This Row],[Total Ex-C Clubs]]&gt;0,Table1[[#This Row],[Total Intra-School Sports]]&gt;0,Table1[[#This Row],[Total Inter-School Sports]]&gt;0,Table1[[#This Row],[Community Clubs]]&gt;0),1,0)</f>
        <v>0</v>
      </c>
      <c r="HI188"/>
      <c r="HJ188" s="19"/>
    </row>
    <row r="189" spans="11:218" x14ac:dyDescent="0.25">
      <c r="K189" s="91">
        <f>SUM(Table1[[#This Row],[Challenge 1]:[Challenge 50]])</f>
        <v>0</v>
      </c>
      <c r="L189" s="2">
        <f>SUM(Table1[[#This Row],[Club 1]:[Club 50]])</f>
        <v>0</v>
      </c>
      <c r="M189" s="2">
        <f>SUM(Table1[[#This Row],[Intra-school sports 1]:[Intra-school sports 50]])</f>
        <v>0</v>
      </c>
      <c r="N189" s="2">
        <f>SUM(Table1[[#This Row],[Inter School sports 1]:[Inter School sports 50]])</f>
        <v>0</v>
      </c>
      <c r="O189" s="91">
        <f>COUNTIF(Table1[[#This Row],[Community club (type name of club(s). All clubs will count as ''1'']],"*")</f>
        <v>0</v>
      </c>
      <c r="P189" s="17">
        <f>IF(OR(Table1[[#This Row],[Total Challenges]]&gt;0,Table1[[#This Row],[Total Ex-C Clubs]]&gt;0,Table1[[#This Row],[Total Intra-School Sports]]&gt;0,Table1[[#This Row],[Total Inter-School Sports]]&gt;0,Table1[[#This Row],[Community Clubs]]&gt;0),1,0)</f>
        <v>0</v>
      </c>
      <c r="HI189"/>
      <c r="HJ189" s="19"/>
    </row>
    <row r="190" spans="11:218" x14ac:dyDescent="0.25">
      <c r="K190" s="91">
        <f>SUM(Table1[[#This Row],[Challenge 1]:[Challenge 50]])</f>
        <v>0</v>
      </c>
      <c r="L190" s="2">
        <f>SUM(Table1[[#This Row],[Club 1]:[Club 50]])</f>
        <v>0</v>
      </c>
      <c r="M190" s="2">
        <f>SUM(Table1[[#This Row],[Intra-school sports 1]:[Intra-school sports 50]])</f>
        <v>0</v>
      </c>
      <c r="N190" s="2">
        <f>SUM(Table1[[#This Row],[Inter School sports 1]:[Inter School sports 50]])</f>
        <v>0</v>
      </c>
      <c r="O190" s="91">
        <f>COUNTIF(Table1[[#This Row],[Community club (type name of club(s). All clubs will count as ''1'']],"*")</f>
        <v>0</v>
      </c>
      <c r="P190" s="17">
        <f>IF(OR(Table1[[#This Row],[Total Challenges]]&gt;0,Table1[[#This Row],[Total Ex-C Clubs]]&gt;0,Table1[[#This Row],[Total Intra-School Sports]]&gt;0,Table1[[#This Row],[Total Inter-School Sports]]&gt;0,Table1[[#This Row],[Community Clubs]]&gt;0),1,0)</f>
        <v>0</v>
      </c>
      <c r="HI190"/>
      <c r="HJ190" s="19"/>
    </row>
    <row r="191" spans="11:218" x14ac:dyDescent="0.25">
      <c r="K191" s="91">
        <f>SUM(Table1[[#This Row],[Challenge 1]:[Challenge 50]])</f>
        <v>0</v>
      </c>
      <c r="L191" s="2">
        <f>SUM(Table1[[#This Row],[Club 1]:[Club 50]])</f>
        <v>0</v>
      </c>
      <c r="M191" s="2">
        <f>SUM(Table1[[#This Row],[Intra-school sports 1]:[Intra-school sports 50]])</f>
        <v>0</v>
      </c>
      <c r="N191" s="2">
        <f>SUM(Table1[[#This Row],[Inter School sports 1]:[Inter School sports 50]])</f>
        <v>0</v>
      </c>
      <c r="O191" s="91">
        <f>COUNTIF(Table1[[#This Row],[Community club (type name of club(s). All clubs will count as ''1'']],"*")</f>
        <v>0</v>
      </c>
      <c r="P191" s="17">
        <f>IF(OR(Table1[[#This Row],[Total Challenges]]&gt;0,Table1[[#This Row],[Total Ex-C Clubs]]&gt;0,Table1[[#This Row],[Total Intra-School Sports]]&gt;0,Table1[[#This Row],[Total Inter-School Sports]]&gt;0,Table1[[#This Row],[Community Clubs]]&gt;0),1,0)</f>
        <v>0</v>
      </c>
      <c r="HI191"/>
      <c r="HJ191" s="19"/>
    </row>
    <row r="192" spans="11:218" x14ac:dyDescent="0.25">
      <c r="K192" s="91">
        <f>SUM(Table1[[#This Row],[Challenge 1]:[Challenge 50]])</f>
        <v>0</v>
      </c>
      <c r="L192" s="2">
        <f>SUM(Table1[[#This Row],[Club 1]:[Club 50]])</f>
        <v>0</v>
      </c>
      <c r="M192" s="2">
        <f>SUM(Table1[[#This Row],[Intra-school sports 1]:[Intra-school sports 50]])</f>
        <v>0</v>
      </c>
      <c r="N192" s="2">
        <f>SUM(Table1[[#This Row],[Inter School sports 1]:[Inter School sports 50]])</f>
        <v>0</v>
      </c>
      <c r="O192" s="91">
        <f>COUNTIF(Table1[[#This Row],[Community club (type name of club(s). All clubs will count as ''1'']],"*")</f>
        <v>0</v>
      </c>
      <c r="P192" s="17">
        <f>IF(OR(Table1[[#This Row],[Total Challenges]]&gt;0,Table1[[#This Row],[Total Ex-C Clubs]]&gt;0,Table1[[#This Row],[Total Intra-School Sports]]&gt;0,Table1[[#This Row],[Total Inter-School Sports]]&gt;0,Table1[[#This Row],[Community Clubs]]&gt;0),1,0)</f>
        <v>0</v>
      </c>
      <c r="HI192"/>
      <c r="HJ192" s="19"/>
    </row>
    <row r="193" spans="11:218" x14ac:dyDescent="0.25">
      <c r="K193" s="91">
        <f>SUM(Table1[[#This Row],[Challenge 1]:[Challenge 50]])</f>
        <v>0</v>
      </c>
      <c r="L193" s="2">
        <f>SUM(Table1[[#This Row],[Club 1]:[Club 50]])</f>
        <v>0</v>
      </c>
      <c r="M193" s="2">
        <f>SUM(Table1[[#This Row],[Intra-school sports 1]:[Intra-school sports 50]])</f>
        <v>0</v>
      </c>
      <c r="N193" s="2">
        <f>SUM(Table1[[#This Row],[Inter School sports 1]:[Inter School sports 50]])</f>
        <v>0</v>
      </c>
      <c r="O193" s="91">
        <f>COUNTIF(Table1[[#This Row],[Community club (type name of club(s). All clubs will count as ''1'']],"*")</f>
        <v>0</v>
      </c>
      <c r="P193" s="17">
        <f>IF(OR(Table1[[#This Row],[Total Challenges]]&gt;0,Table1[[#This Row],[Total Ex-C Clubs]]&gt;0,Table1[[#This Row],[Total Intra-School Sports]]&gt;0,Table1[[#This Row],[Total Inter-School Sports]]&gt;0,Table1[[#This Row],[Community Clubs]]&gt;0),1,0)</f>
        <v>0</v>
      </c>
      <c r="HI193"/>
      <c r="HJ193" s="19"/>
    </row>
    <row r="194" spans="11:218" x14ac:dyDescent="0.25">
      <c r="K194" s="91">
        <f>SUM(Table1[[#This Row],[Challenge 1]:[Challenge 50]])</f>
        <v>0</v>
      </c>
      <c r="L194" s="2">
        <f>SUM(Table1[[#This Row],[Club 1]:[Club 50]])</f>
        <v>0</v>
      </c>
      <c r="M194" s="2">
        <f>SUM(Table1[[#This Row],[Intra-school sports 1]:[Intra-school sports 50]])</f>
        <v>0</v>
      </c>
      <c r="N194" s="2">
        <f>SUM(Table1[[#This Row],[Inter School sports 1]:[Inter School sports 50]])</f>
        <v>0</v>
      </c>
      <c r="O194" s="91">
        <f>COUNTIF(Table1[[#This Row],[Community club (type name of club(s). All clubs will count as ''1'']],"*")</f>
        <v>0</v>
      </c>
      <c r="P194" s="17">
        <f>IF(OR(Table1[[#This Row],[Total Challenges]]&gt;0,Table1[[#This Row],[Total Ex-C Clubs]]&gt;0,Table1[[#This Row],[Total Intra-School Sports]]&gt;0,Table1[[#This Row],[Total Inter-School Sports]]&gt;0,Table1[[#This Row],[Community Clubs]]&gt;0),1,0)</f>
        <v>0</v>
      </c>
      <c r="HI194"/>
      <c r="HJ194" s="19"/>
    </row>
    <row r="195" spans="11:218" x14ac:dyDescent="0.25">
      <c r="K195" s="91">
        <f>SUM(Table1[[#This Row],[Challenge 1]:[Challenge 50]])</f>
        <v>0</v>
      </c>
      <c r="L195" s="2">
        <f>SUM(Table1[[#This Row],[Club 1]:[Club 50]])</f>
        <v>0</v>
      </c>
      <c r="M195" s="2">
        <f>SUM(Table1[[#This Row],[Intra-school sports 1]:[Intra-school sports 50]])</f>
        <v>0</v>
      </c>
      <c r="N195" s="2">
        <f>SUM(Table1[[#This Row],[Inter School sports 1]:[Inter School sports 50]])</f>
        <v>0</v>
      </c>
      <c r="O195" s="91">
        <f>COUNTIF(Table1[[#This Row],[Community club (type name of club(s). All clubs will count as ''1'']],"*")</f>
        <v>0</v>
      </c>
      <c r="P195" s="17">
        <f>IF(OR(Table1[[#This Row],[Total Challenges]]&gt;0,Table1[[#This Row],[Total Ex-C Clubs]]&gt;0,Table1[[#This Row],[Total Intra-School Sports]]&gt;0,Table1[[#This Row],[Total Inter-School Sports]]&gt;0,Table1[[#This Row],[Community Clubs]]&gt;0),1,0)</f>
        <v>0</v>
      </c>
      <c r="HI195"/>
      <c r="HJ195" s="19"/>
    </row>
    <row r="196" spans="11:218" x14ac:dyDescent="0.25">
      <c r="K196" s="91">
        <f>SUM(Table1[[#This Row],[Challenge 1]:[Challenge 50]])</f>
        <v>0</v>
      </c>
      <c r="L196" s="2">
        <f>SUM(Table1[[#This Row],[Club 1]:[Club 50]])</f>
        <v>0</v>
      </c>
      <c r="M196" s="2">
        <f>SUM(Table1[[#This Row],[Intra-school sports 1]:[Intra-school sports 50]])</f>
        <v>0</v>
      </c>
      <c r="N196" s="2">
        <f>SUM(Table1[[#This Row],[Inter School sports 1]:[Inter School sports 50]])</f>
        <v>0</v>
      </c>
      <c r="O196" s="91">
        <f>COUNTIF(Table1[[#This Row],[Community club (type name of club(s). All clubs will count as ''1'']],"*")</f>
        <v>0</v>
      </c>
      <c r="P196" s="17">
        <f>IF(OR(Table1[[#This Row],[Total Challenges]]&gt;0,Table1[[#This Row],[Total Ex-C Clubs]]&gt;0,Table1[[#This Row],[Total Intra-School Sports]]&gt;0,Table1[[#This Row],[Total Inter-School Sports]]&gt;0,Table1[[#This Row],[Community Clubs]]&gt;0),1,0)</f>
        <v>0</v>
      </c>
      <c r="HI196"/>
      <c r="HJ196" s="19"/>
    </row>
    <row r="197" spans="11:218" x14ac:dyDescent="0.25">
      <c r="K197" s="91">
        <f>SUM(Table1[[#This Row],[Challenge 1]:[Challenge 50]])</f>
        <v>0</v>
      </c>
      <c r="L197" s="2">
        <f>SUM(Table1[[#This Row],[Club 1]:[Club 50]])</f>
        <v>0</v>
      </c>
      <c r="M197" s="2">
        <f>SUM(Table1[[#This Row],[Intra-school sports 1]:[Intra-school sports 50]])</f>
        <v>0</v>
      </c>
      <c r="N197" s="2">
        <f>SUM(Table1[[#This Row],[Inter School sports 1]:[Inter School sports 50]])</f>
        <v>0</v>
      </c>
      <c r="O197" s="91">
        <f>COUNTIF(Table1[[#This Row],[Community club (type name of club(s). All clubs will count as ''1'']],"*")</f>
        <v>0</v>
      </c>
      <c r="P197" s="17">
        <f>IF(OR(Table1[[#This Row],[Total Challenges]]&gt;0,Table1[[#This Row],[Total Ex-C Clubs]]&gt;0,Table1[[#This Row],[Total Intra-School Sports]]&gt;0,Table1[[#This Row],[Total Inter-School Sports]]&gt;0,Table1[[#This Row],[Community Clubs]]&gt;0),1,0)</f>
        <v>0</v>
      </c>
      <c r="HI197"/>
      <c r="HJ197" s="19"/>
    </row>
    <row r="198" spans="11:218" x14ac:dyDescent="0.25">
      <c r="K198" s="91">
        <f>SUM(Table1[[#This Row],[Challenge 1]:[Challenge 50]])</f>
        <v>0</v>
      </c>
      <c r="L198" s="2">
        <f>SUM(Table1[[#This Row],[Club 1]:[Club 50]])</f>
        <v>0</v>
      </c>
      <c r="M198" s="2">
        <f>SUM(Table1[[#This Row],[Intra-school sports 1]:[Intra-school sports 50]])</f>
        <v>0</v>
      </c>
      <c r="N198" s="2">
        <f>SUM(Table1[[#This Row],[Inter School sports 1]:[Inter School sports 50]])</f>
        <v>0</v>
      </c>
      <c r="O198" s="91">
        <f>COUNTIF(Table1[[#This Row],[Community club (type name of club(s). All clubs will count as ''1'']],"*")</f>
        <v>0</v>
      </c>
      <c r="P198" s="17">
        <f>IF(OR(Table1[[#This Row],[Total Challenges]]&gt;0,Table1[[#This Row],[Total Ex-C Clubs]]&gt;0,Table1[[#This Row],[Total Intra-School Sports]]&gt;0,Table1[[#This Row],[Total Inter-School Sports]]&gt;0,Table1[[#This Row],[Community Clubs]]&gt;0),1,0)</f>
        <v>0</v>
      </c>
      <c r="HI198"/>
      <c r="HJ198" s="19"/>
    </row>
    <row r="199" spans="11:218" x14ac:dyDescent="0.25">
      <c r="K199" s="91">
        <f>SUM(Table1[[#This Row],[Challenge 1]:[Challenge 50]])</f>
        <v>0</v>
      </c>
      <c r="L199" s="2">
        <f>SUM(Table1[[#This Row],[Club 1]:[Club 50]])</f>
        <v>0</v>
      </c>
      <c r="M199" s="2">
        <f>SUM(Table1[[#This Row],[Intra-school sports 1]:[Intra-school sports 50]])</f>
        <v>0</v>
      </c>
      <c r="N199" s="2">
        <f>SUM(Table1[[#This Row],[Inter School sports 1]:[Inter School sports 50]])</f>
        <v>0</v>
      </c>
      <c r="O199" s="91">
        <f>COUNTIF(Table1[[#This Row],[Community club (type name of club(s). All clubs will count as ''1'']],"*")</f>
        <v>0</v>
      </c>
      <c r="P199" s="17">
        <f>IF(OR(Table1[[#This Row],[Total Challenges]]&gt;0,Table1[[#This Row],[Total Ex-C Clubs]]&gt;0,Table1[[#This Row],[Total Intra-School Sports]]&gt;0,Table1[[#This Row],[Total Inter-School Sports]]&gt;0,Table1[[#This Row],[Community Clubs]]&gt;0),1,0)</f>
        <v>0</v>
      </c>
      <c r="HI199"/>
      <c r="HJ199" s="19"/>
    </row>
    <row r="200" spans="11:218" x14ac:dyDescent="0.25">
      <c r="K200" s="91">
        <f>SUM(Table1[[#This Row],[Challenge 1]:[Challenge 50]])</f>
        <v>0</v>
      </c>
      <c r="L200" s="2">
        <f>SUM(Table1[[#This Row],[Club 1]:[Club 50]])</f>
        <v>0</v>
      </c>
      <c r="M200" s="2">
        <f>SUM(Table1[[#This Row],[Intra-school sports 1]:[Intra-school sports 50]])</f>
        <v>0</v>
      </c>
      <c r="N200" s="2">
        <f>SUM(Table1[[#This Row],[Inter School sports 1]:[Inter School sports 50]])</f>
        <v>0</v>
      </c>
      <c r="O200" s="91">
        <f>COUNTIF(Table1[[#This Row],[Community club (type name of club(s). All clubs will count as ''1'']],"*")</f>
        <v>0</v>
      </c>
      <c r="P200" s="17">
        <f>IF(OR(Table1[[#This Row],[Total Challenges]]&gt;0,Table1[[#This Row],[Total Ex-C Clubs]]&gt;0,Table1[[#This Row],[Total Intra-School Sports]]&gt;0,Table1[[#This Row],[Total Inter-School Sports]]&gt;0,Table1[[#This Row],[Community Clubs]]&gt;0),1,0)</f>
        <v>0</v>
      </c>
      <c r="HI200"/>
      <c r="HJ200" s="19"/>
    </row>
    <row r="201" spans="11:218" x14ac:dyDescent="0.25">
      <c r="K201" s="91">
        <f>SUM(Table1[[#This Row],[Challenge 1]:[Challenge 50]])</f>
        <v>0</v>
      </c>
      <c r="L201" s="2">
        <f>SUM(Table1[[#This Row],[Club 1]:[Club 50]])</f>
        <v>0</v>
      </c>
      <c r="M201" s="2">
        <f>SUM(Table1[[#This Row],[Intra-school sports 1]:[Intra-school sports 50]])</f>
        <v>0</v>
      </c>
      <c r="N201" s="2">
        <f>SUM(Table1[[#This Row],[Inter School sports 1]:[Inter School sports 50]])</f>
        <v>0</v>
      </c>
      <c r="O201" s="91">
        <f>COUNTIF(Table1[[#This Row],[Community club (type name of club(s). All clubs will count as ''1'']],"*")</f>
        <v>0</v>
      </c>
      <c r="P201" s="17">
        <f>IF(OR(Table1[[#This Row],[Total Challenges]]&gt;0,Table1[[#This Row],[Total Ex-C Clubs]]&gt;0,Table1[[#This Row],[Total Intra-School Sports]]&gt;0,Table1[[#This Row],[Total Inter-School Sports]]&gt;0,Table1[[#This Row],[Community Clubs]]&gt;0),1,0)</f>
        <v>0</v>
      </c>
      <c r="HI201"/>
      <c r="HJ201" s="19"/>
    </row>
    <row r="202" spans="11:218" x14ac:dyDescent="0.25">
      <c r="K202" s="91">
        <f>SUM(Table1[[#This Row],[Challenge 1]:[Challenge 50]])</f>
        <v>0</v>
      </c>
      <c r="L202" s="2">
        <f>SUM(Table1[[#This Row],[Club 1]:[Club 50]])</f>
        <v>0</v>
      </c>
      <c r="M202" s="2">
        <f>SUM(Table1[[#This Row],[Intra-school sports 1]:[Intra-school sports 50]])</f>
        <v>0</v>
      </c>
      <c r="N202" s="2">
        <f>SUM(Table1[[#This Row],[Inter School sports 1]:[Inter School sports 50]])</f>
        <v>0</v>
      </c>
      <c r="O202" s="91">
        <f>COUNTIF(Table1[[#This Row],[Community club (type name of club(s). All clubs will count as ''1'']],"*")</f>
        <v>0</v>
      </c>
      <c r="P202" s="17">
        <f>IF(OR(Table1[[#This Row],[Total Challenges]]&gt;0,Table1[[#This Row],[Total Ex-C Clubs]]&gt;0,Table1[[#This Row],[Total Intra-School Sports]]&gt;0,Table1[[#This Row],[Total Inter-School Sports]]&gt;0,Table1[[#This Row],[Community Clubs]]&gt;0),1,0)</f>
        <v>0</v>
      </c>
      <c r="HI202"/>
      <c r="HJ202" s="19"/>
    </row>
    <row r="203" spans="11:218" x14ac:dyDescent="0.25">
      <c r="K203" s="91">
        <f>SUM(Table1[[#This Row],[Challenge 1]:[Challenge 50]])</f>
        <v>0</v>
      </c>
      <c r="L203" s="2">
        <f>SUM(Table1[[#This Row],[Club 1]:[Club 50]])</f>
        <v>0</v>
      </c>
      <c r="M203" s="2">
        <f>SUM(Table1[[#This Row],[Intra-school sports 1]:[Intra-school sports 50]])</f>
        <v>0</v>
      </c>
      <c r="N203" s="2">
        <f>SUM(Table1[[#This Row],[Inter School sports 1]:[Inter School sports 50]])</f>
        <v>0</v>
      </c>
      <c r="O203" s="91">
        <f>COUNTIF(Table1[[#This Row],[Community club (type name of club(s). All clubs will count as ''1'']],"*")</f>
        <v>0</v>
      </c>
      <c r="P203" s="17">
        <f>IF(OR(Table1[[#This Row],[Total Challenges]]&gt;0,Table1[[#This Row],[Total Ex-C Clubs]]&gt;0,Table1[[#This Row],[Total Intra-School Sports]]&gt;0,Table1[[#This Row],[Total Inter-School Sports]]&gt;0,Table1[[#This Row],[Community Clubs]]&gt;0),1,0)</f>
        <v>0</v>
      </c>
      <c r="HI203"/>
      <c r="HJ203" s="19"/>
    </row>
    <row r="204" spans="11:218" x14ac:dyDescent="0.25">
      <c r="K204" s="91">
        <f>SUM(Table1[[#This Row],[Challenge 1]:[Challenge 50]])</f>
        <v>0</v>
      </c>
      <c r="L204" s="2">
        <f>SUM(Table1[[#This Row],[Club 1]:[Club 50]])</f>
        <v>0</v>
      </c>
      <c r="M204" s="2">
        <f>SUM(Table1[[#This Row],[Intra-school sports 1]:[Intra-school sports 50]])</f>
        <v>0</v>
      </c>
      <c r="N204" s="2">
        <f>SUM(Table1[[#This Row],[Inter School sports 1]:[Inter School sports 50]])</f>
        <v>0</v>
      </c>
      <c r="O204" s="91">
        <f>COUNTIF(Table1[[#This Row],[Community club (type name of club(s). All clubs will count as ''1'']],"*")</f>
        <v>0</v>
      </c>
      <c r="P204" s="17">
        <f>IF(OR(Table1[[#This Row],[Total Challenges]]&gt;0,Table1[[#This Row],[Total Ex-C Clubs]]&gt;0,Table1[[#This Row],[Total Intra-School Sports]]&gt;0,Table1[[#This Row],[Total Inter-School Sports]]&gt;0,Table1[[#This Row],[Community Clubs]]&gt;0),1,0)</f>
        <v>0</v>
      </c>
      <c r="HI204"/>
      <c r="HJ204" s="19"/>
    </row>
    <row r="205" spans="11:218" x14ac:dyDescent="0.25">
      <c r="K205" s="91">
        <f>SUM(Table1[[#This Row],[Challenge 1]:[Challenge 50]])</f>
        <v>0</v>
      </c>
      <c r="L205" s="2">
        <f>SUM(Table1[[#This Row],[Club 1]:[Club 50]])</f>
        <v>0</v>
      </c>
      <c r="M205" s="2">
        <f>SUM(Table1[[#This Row],[Intra-school sports 1]:[Intra-school sports 50]])</f>
        <v>0</v>
      </c>
      <c r="N205" s="2">
        <f>SUM(Table1[[#This Row],[Inter School sports 1]:[Inter School sports 50]])</f>
        <v>0</v>
      </c>
      <c r="O205" s="91">
        <f>COUNTIF(Table1[[#This Row],[Community club (type name of club(s). All clubs will count as ''1'']],"*")</f>
        <v>0</v>
      </c>
      <c r="P205" s="17">
        <f>IF(OR(Table1[[#This Row],[Total Challenges]]&gt;0,Table1[[#This Row],[Total Ex-C Clubs]]&gt;0,Table1[[#This Row],[Total Intra-School Sports]]&gt;0,Table1[[#This Row],[Total Inter-School Sports]]&gt;0,Table1[[#This Row],[Community Clubs]]&gt;0),1,0)</f>
        <v>0</v>
      </c>
      <c r="HI205"/>
      <c r="HJ205" s="19"/>
    </row>
    <row r="206" spans="11:218" x14ac:dyDescent="0.25">
      <c r="K206" s="91">
        <f>SUM(Table1[[#This Row],[Challenge 1]:[Challenge 50]])</f>
        <v>0</v>
      </c>
      <c r="L206" s="2">
        <f>SUM(Table1[[#This Row],[Club 1]:[Club 50]])</f>
        <v>0</v>
      </c>
      <c r="M206" s="2">
        <f>SUM(Table1[[#This Row],[Intra-school sports 1]:[Intra-school sports 50]])</f>
        <v>0</v>
      </c>
      <c r="N206" s="2">
        <f>SUM(Table1[[#This Row],[Inter School sports 1]:[Inter School sports 50]])</f>
        <v>0</v>
      </c>
      <c r="O206" s="91">
        <f>COUNTIF(Table1[[#This Row],[Community club (type name of club(s). All clubs will count as ''1'']],"*")</f>
        <v>0</v>
      </c>
      <c r="P206" s="17">
        <f>IF(OR(Table1[[#This Row],[Total Challenges]]&gt;0,Table1[[#This Row],[Total Ex-C Clubs]]&gt;0,Table1[[#This Row],[Total Intra-School Sports]]&gt;0,Table1[[#This Row],[Total Inter-School Sports]]&gt;0,Table1[[#This Row],[Community Clubs]]&gt;0),1,0)</f>
        <v>0</v>
      </c>
      <c r="HI206"/>
      <c r="HJ206" s="19"/>
    </row>
    <row r="207" spans="11:218" x14ac:dyDescent="0.25">
      <c r="K207" s="91">
        <f>SUM(Table1[[#This Row],[Challenge 1]:[Challenge 50]])</f>
        <v>0</v>
      </c>
      <c r="L207" s="2">
        <f>SUM(Table1[[#This Row],[Club 1]:[Club 50]])</f>
        <v>0</v>
      </c>
      <c r="M207" s="2">
        <f>SUM(Table1[[#This Row],[Intra-school sports 1]:[Intra-school sports 50]])</f>
        <v>0</v>
      </c>
      <c r="N207" s="2">
        <f>SUM(Table1[[#This Row],[Inter School sports 1]:[Inter School sports 50]])</f>
        <v>0</v>
      </c>
      <c r="O207" s="91">
        <f>COUNTIF(Table1[[#This Row],[Community club (type name of club(s). All clubs will count as ''1'']],"*")</f>
        <v>0</v>
      </c>
      <c r="P207" s="17">
        <f>IF(OR(Table1[[#This Row],[Total Challenges]]&gt;0,Table1[[#This Row],[Total Ex-C Clubs]]&gt;0,Table1[[#This Row],[Total Intra-School Sports]]&gt;0,Table1[[#This Row],[Total Inter-School Sports]]&gt;0,Table1[[#This Row],[Community Clubs]]&gt;0),1,0)</f>
        <v>0</v>
      </c>
      <c r="HI207"/>
      <c r="HJ207" s="19"/>
    </row>
    <row r="208" spans="11:218" x14ac:dyDescent="0.25">
      <c r="K208" s="91">
        <f>SUM(Table1[[#This Row],[Challenge 1]:[Challenge 50]])</f>
        <v>0</v>
      </c>
      <c r="L208" s="2">
        <f>SUM(Table1[[#This Row],[Club 1]:[Club 50]])</f>
        <v>0</v>
      </c>
      <c r="M208" s="2">
        <f>SUM(Table1[[#This Row],[Intra-school sports 1]:[Intra-school sports 50]])</f>
        <v>0</v>
      </c>
      <c r="N208" s="2">
        <f>SUM(Table1[[#This Row],[Inter School sports 1]:[Inter School sports 50]])</f>
        <v>0</v>
      </c>
      <c r="O208" s="91">
        <f>COUNTIF(Table1[[#This Row],[Community club (type name of club(s). All clubs will count as ''1'']],"*")</f>
        <v>0</v>
      </c>
      <c r="P208" s="17">
        <f>IF(OR(Table1[[#This Row],[Total Challenges]]&gt;0,Table1[[#This Row],[Total Ex-C Clubs]]&gt;0,Table1[[#This Row],[Total Intra-School Sports]]&gt;0,Table1[[#This Row],[Total Inter-School Sports]]&gt;0,Table1[[#This Row],[Community Clubs]]&gt;0),1,0)</f>
        <v>0</v>
      </c>
      <c r="HI208"/>
      <c r="HJ208" s="19"/>
    </row>
    <row r="209" spans="1:218" x14ac:dyDescent="0.25">
      <c r="K209" s="91">
        <f>SUM(Table1[[#This Row],[Challenge 1]:[Challenge 50]])</f>
        <v>0</v>
      </c>
      <c r="L209" s="2">
        <f>SUM(Table1[[#This Row],[Club 1]:[Club 50]])</f>
        <v>0</v>
      </c>
      <c r="M209" s="2">
        <f>SUM(Table1[[#This Row],[Intra-school sports 1]:[Intra-school sports 50]])</f>
        <v>0</v>
      </c>
      <c r="N209" s="2">
        <f>SUM(Table1[[#This Row],[Inter School sports 1]:[Inter School sports 50]])</f>
        <v>0</v>
      </c>
      <c r="O209" s="91">
        <f>COUNTIF(Table1[[#This Row],[Community club (type name of club(s). All clubs will count as ''1'']],"*")</f>
        <v>0</v>
      </c>
      <c r="P209" s="17">
        <f>IF(OR(Table1[[#This Row],[Total Challenges]]&gt;0,Table1[[#This Row],[Total Ex-C Clubs]]&gt;0,Table1[[#This Row],[Total Intra-School Sports]]&gt;0,Table1[[#This Row],[Total Inter-School Sports]]&gt;0,Table1[[#This Row],[Community Clubs]]&gt;0),1,0)</f>
        <v>0</v>
      </c>
      <c r="HI209"/>
      <c r="HJ209" s="19"/>
    </row>
    <row r="210" spans="1:218" x14ac:dyDescent="0.25">
      <c r="K210" s="91">
        <f>SUM(Table1[[#This Row],[Challenge 1]:[Challenge 50]])</f>
        <v>0</v>
      </c>
      <c r="L210" s="2">
        <f>SUM(Table1[[#This Row],[Club 1]:[Club 50]])</f>
        <v>0</v>
      </c>
      <c r="M210" s="2">
        <f>SUM(Table1[[#This Row],[Intra-school sports 1]:[Intra-school sports 50]])</f>
        <v>0</v>
      </c>
      <c r="N210" s="2">
        <f>SUM(Table1[[#This Row],[Inter School sports 1]:[Inter School sports 50]])</f>
        <v>0</v>
      </c>
      <c r="O210" s="91">
        <f>COUNTIF(Table1[[#This Row],[Community club (type name of club(s). All clubs will count as ''1'']],"*")</f>
        <v>0</v>
      </c>
      <c r="P210" s="17">
        <f>IF(OR(Table1[[#This Row],[Total Challenges]]&gt;0,Table1[[#This Row],[Total Ex-C Clubs]]&gt;0,Table1[[#This Row],[Total Intra-School Sports]]&gt;0,Table1[[#This Row],[Total Inter-School Sports]]&gt;0,Table1[[#This Row],[Community Clubs]]&gt;0),1,0)</f>
        <v>0</v>
      </c>
      <c r="HI210"/>
      <c r="HJ210" s="19"/>
    </row>
    <row r="211" spans="1:218" x14ac:dyDescent="0.25">
      <c r="K211" s="91">
        <f>SUM(Table1[[#This Row],[Challenge 1]:[Challenge 50]])</f>
        <v>0</v>
      </c>
      <c r="L211" s="2">
        <f>SUM(Table1[[#This Row],[Club 1]:[Club 50]])</f>
        <v>0</v>
      </c>
      <c r="M211" s="2">
        <f>SUM(Table1[[#This Row],[Intra-school sports 1]:[Intra-school sports 50]])</f>
        <v>0</v>
      </c>
      <c r="N211" s="2">
        <f>SUM(Table1[[#This Row],[Inter School sports 1]:[Inter School sports 50]])</f>
        <v>0</v>
      </c>
      <c r="O211" s="91">
        <f>COUNTIF(Table1[[#This Row],[Community club (type name of club(s). All clubs will count as ''1'']],"*")</f>
        <v>0</v>
      </c>
      <c r="P211" s="17">
        <f>IF(OR(Table1[[#This Row],[Total Challenges]]&gt;0,Table1[[#This Row],[Total Ex-C Clubs]]&gt;0,Table1[[#This Row],[Total Intra-School Sports]]&gt;0,Table1[[#This Row],[Total Inter-School Sports]]&gt;0,Table1[[#This Row],[Community Clubs]]&gt;0),1,0)</f>
        <v>0</v>
      </c>
      <c r="HI211"/>
      <c r="HJ211" s="19"/>
    </row>
    <row r="212" spans="1:218" x14ac:dyDescent="0.25">
      <c r="K212" s="91">
        <f>SUM(Table1[[#This Row],[Challenge 1]:[Challenge 50]])</f>
        <v>0</v>
      </c>
      <c r="L212" s="2">
        <f>SUM(Table1[[#This Row],[Club 1]:[Club 50]])</f>
        <v>0</v>
      </c>
      <c r="M212" s="2">
        <f>SUM(Table1[[#This Row],[Intra-school sports 1]:[Intra-school sports 50]])</f>
        <v>0</v>
      </c>
      <c r="N212" s="2">
        <f>SUM(Table1[[#This Row],[Inter School sports 1]:[Inter School sports 50]])</f>
        <v>0</v>
      </c>
      <c r="O212" s="91">
        <f>COUNTIF(Table1[[#This Row],[Community club (type name of club(s). All clubs will count as ''1'']],"*")</f>
        <v>0</v>
      </c>
      <c r="P212" s="17">
        <f>IF(OR(Table1[[#This Row],[Total Challenges]]&gt;0,Table1[[#This Row],[Total Ex-C Clubs]]&gt;0,Table1[[#This Row],[Total Intra-School Sports]]&gt;0,Table1[[#This Row],[Total Inter-School Sports]]&gt;0,Table1[[#This Row],[Community Clubs]]&gt;0),1,0)</f>
        <v>0</v>
      </c>
      <c r="HI212"/>
      <c r="HJ212" s="19"/>
    </row>
    <row r="213" spans="1:218" x14ac:dyDescent="0.25">
      <c r="K213" s="91">
        <f>SUM(Table1[[#This Row],[Challenge 1]:[Challenge 50]])</f>
        <v>0</v>
      </c>
      <c r="L213" s="2">
        <f>SUM(Table1[[#This Row],[Club 1]:[Club 50]])</f>
        <v>0</v>
      </c>
      <c r="M213" s="2">
        <f>SUM(Table1[[#This Row],[Intra-school sports 1]:[Intra-school sports 50]])</f>
        <v>0</v>
      </c>
      <c r="N213" s="2">
        <f>SUM(Table1[[#This Row],[Inter School sports 1]:[Inter School sports 50]])</f>
        <v>0</v>
      </c>
      <c r="O213" s="91">
        <f>COUNTIF(Table1[[#This Row],[Community club (type name of club(s). All clubs will count as ''1'']],"*")</f>
        <v>0</v>
      </c>
      <c r="P213" s="17">
        <f>IF(OR(Table1[[#This Row],[Total Challenges]]&gt;0,Table1[[#This Row],[Total Ex-C Clubs]]&gt;0,Table1[[#This Row],[Total Intra-School Sports]]&gt;0,Table1[[#This Row],[Total Inter-School Sports]]&gt;0,Table1[[#This Row],[Community Clubs]]&gt;0),1,0)</f>
        <v>0</v>
      </c>
      <c r="HI213"/>
      <c r="HJ213" s="19"/>
    </row>
    <row r="214" spans="1:218" x14ac:dyDescent="0.25">
      <c r="K214" s="91">
        <f>SUM(Table1[[#This Row],[Challenge 1]:[Challenge 50]])</f>
        <v>0</v>
      </c>
      <c r="L214" s="2">
        <f>SUM(Table1[[#This Row],[Club 1]:[Club 50]])</f>
        <v>0</v>
      </c>
      <c r="M214" s="2">
        <f>SUM(Table1[[#This Row],[Intra-school sports 1]:[Intra-school sports 50]])</f>
        <v>0</v>
      </c>
      <c r="N214" s="2">
        <f>SUM(Table1[[#This Row],[Inter School sports 1]:[Inter School sports 50]])</f>
        <v>0</v>
      </c>
      <c r="O214" s="91">
        <f>COUNTIF(Table1[[#This Row],[Community club (type name of club(s). All clubs will count as ''1'']],"*")</f>
        <v>0</v>
      </c>
      <c r="P214" s="17">
        <f>IF(OR(Table1[[#This Row],[Total Challenges]]&gt;0,Table1[[#This Row],[Total Ex-C Clubs]]&gt;0,Table1[[#This Row],[Total Intra-School Sports]]&gt;0,Table1[[#This Row],[Total Inter-School Sports]]&gt;0,Table1[[#This Row],[Community Clubs]]&gt;0),1,0)</f>
        <v>0</v>
      </c>
      <c r="HI214"/>
      <c r="HJ214" s="19"/>
    </row>
    <row r="215" spans="1:218" x14ac:dyDescent="0.25">
      <c r="K215" s="91">
        <f>SUM(Table1[[#This Row],[Challenge 1]:[Challenge 50]])</f>
        <v>0</v>
      </c>
      <c r="L215" s="2">
        <f>SUM(Table1[[#This Row],[Club 1]:[Club 50]])</f>
        <v>0</v>
      </c>
      <c r="M215" s="2">
        <f>SUM(Table1[[#This Row],[Intra-school sports 1]:[Intra-school sports 50]])</f>
        <v>0</v>
      </c>
      <c r="N215" s="2">
        <f>SUM(Table1[[#This Row],[Inter School sports 1]:[Inter School sports 50]])</f>
        <v>0</v>
      </c>
      <c r="O215" s="91">
        <f>COUNTIF(Table1[[#This Row],[Community club (type name of club(s). All clubs will count as ''1'']],"*")</f>
        <v>0</v>
      </c>
      <c r="P215" s="17">
        <f>IF(OR(Table1[[#This Row],[Total Challenges]]&gt;0,Table1[[#This Row],[Total Ex-C Clubs]]&gt;0,Table1[[#This Row],[Total Intra-School Sports]]&gt;0,Table1[[#This Row],[Total Inter-School Sports]]&gt;0,Table1[[#This Row],[Community Clubs]]&gt;0),1,0)</f>
        <v>0</v>
      </c>
      <c r="HI215"/>
      <c r="HJ215" s="19"/>
    </row>
    <row r="216" spans="1:218" x14ac:dyDescent="0.25">
      <c r="K216" s="91">
        <f>SUM(Table1[[#This Row],[Challenge 1]:[Challenge 50]])</f>
        <v>0</v>
      </c>
      <c r="L216" s="2">
        <f>SUM(Table1[[#This Row],[Club 1]:[Club 50]])</f>
        <v>0</v>
      </c>
      <c r="M216" s="2">
        <f>SUM(Table1[[#This Row],[Intra-school sports 1]:[Intra-school sports 50]])</f>
        <v>0</v>
      </c>
      <c r="N216" s="2">
        <f>SUM(Table1[[#This Row],[Inter School sports 1]:[Inter School sports 50]])</f>
        <v>0</v>
      </c>
      <c r="O216" s="91">
        <f>COUNTIF(Table1[[#This Row],[Community club (type name of club(s). All clubs will count as ''1'']],"*")</f>
        <v>0</v>
      </c>
      <c r="P216" s="17">
        <f>IF(OR(Table1[[#This Row],[Total Challenges]]&gt;0,Table1[[#This Row],[Total Ex-C Clubs]]&gt;0,Table1[[#This Row],[Total Intra-School Sports]]&gt;0,Table1[[#This Row],[Total Inter-School Sports]]&gt;0,Table1[[#This Row],[Community Clubs]]&gt;0),1,0)</f>
        <v>0</v>
      </c>
      <c r="HI216"/>
      <c r="HJ216" s="19"/>
    </row>
    <row r="217" spans="1:218" x14ac:dyDescent="0.25">
      <c r="K217" s="91">
        <f>SUM(Table1[[#This Row],[Challenge 1]:[Challenge 50]])</f>
        <v>0</v>
      </c>
      <c r="L217" s="2">
        <f>SUM(Table1[[#This Row],[Club 1]:[Club 50]])</f>
        <v>0</v>
      </c>
      <c r="M217" s="2">
        <f>SUM(Table1[[#This Row],[Intra-school sports 1]:[Intra-school sports 50]])</f>
        <v>0</v>
      </c>
      <c r="N217" s="2">
        <f>SUM(Table1[[#This Row],[Inter School sports 1]:[Inter School sports 50]])</f>
        <v>0</v>
      </c>
      <c r="O217" s="91">
        <f>COUNTIF(Table1[[#This Row],[Community club (type name of club(s). All clubs will count as ''1'']],"*")</f>
        <v>0</v>
      </c>
      <c r="P217" s="17">
        <f>IF(OR(Table1[[#This Row],[Total Challenges]]&gt;0,Table1[[#This Row],[Total Ex-C Clubs]]&gt;0,Table1[[#This Row],[Total Intra-School Sports]]&gt;0,Table1[[#This Row],[Total Inter-School Sports]]&gt;0,Table1[[#This Row],[Community Clubs]]&gt;0),1,0)</f>
        <v>0</v>
      </c>
      <c r="HI217"/>
      <c r="HJ217" s="19"/>
    </row>
    <row r="218" spans="1:218" x14ac:dyDescent="0.25">
      <c r="K218" s="91">
        <f>SUM(Table1[[#This Row],[Challenge 1]:[Challenge 50]])</f>
        <v>0</v>
      </c>
      <c r="L218" s="2">
        <f>SUM(Table1[[#This Row],[Club 1]:[Club 50]])</f>
        <v>0</v>
      </c>
      <c r="M218" s="2">
        <f>SUM(Table1[[#This Row],[Intra-school sports 1]:[Intra-school sports 50]])</f>
        <v>0</v>
      </c>
      <c r="N218" s="2">
        <f>SUM(Table1[[#This Row],[Inter School sports 1]:[Inter School sports 50]])</f>
        <v>0</v>
      </c>
      <c r="O218" s="91">
        <f>COUNTIF(Table1[[#This Row],[Community club (type name of club(s). All clubs will count as ''1'']],"*")</f>
        <v>0</v>
      </c>
      <c r="P218" s="17">
        <f>IF(OR(Table1[[#This Row],[Total Challenges]]&gt;0,Table1[[#This Row],[Total Ex-C Clubs]]&gt;0,Table1[[#This Row],[Total Intra-School Sports]]&gt;0,Table1[[#This Row],[Total Inter-School Sports]]&gt;0,Table1[[#This Row],[Community Clubs]]&gt;0),1,0)</f>
        <v>0</v>
      </c>
      <c r="HI218"/>
      <c r="HJ218" s="19"/>
    </row>
    <row r="219" spans="1:218" x14ac:dyDescent="0.25">
      <c r="K219" s="91">
        <f>SUM(Table1[[#This Row],[Challenge 1]:[Challenge 50]])</f>
        <v>0</v>
      </c>
      <c r="L219" s="2">
        <f>SUM(Table1[[#This Row],[Club 1]:[Club 50]])</f>
        <v>0</v>
      </c>
      <c r="M219" s="2">
        <f>SUM(Table1[[#This Row],[Intra-school sports 1]:[Intra-school sports 50]])</f>
        <v>0</v>
      </c>
      <c r="N219" s="2">
        <f>SUM(Table1[[#This Row],[Inter School sports 1]:[Inter School sports 50]])</f>
        <v>0</v>
      </c>
      <c r="O219" s="91">
        <f>COUNTIF(Table1[[#This Row],[Community club (type name of club(s). All clubs will count as ''1'']],"*")</f>
        <v>0</v>
      </c>
      <c r="P219" s="17">
        <f>IF(OR(Table1[[#This Row],[Total Challenges]]&gt;0,Table1[[#This Row],[Total Ex-C Clubs]]&gt;0,Table1[[#This Row],[Total Intra-School Sports]]&gt;0,Table1[[#This Row],[Total Inter-School Sports]]&gt;0,Table1[[#This Row],[Community Clubs]]&gt;0),1,0)</f>
        <v>0</v>
      </c>
      <c r="HI219"/>
      <c r="HJ219" s="19"/>
    </row>
    <row r="220" spans="1:218" x14ac:dyDescent="0.25">
      <c r="K220" s="91">
        <f>SUM(Table1[[#This Row],[Challenge 1]:[Challenge 50]])</f>
        <v>0</v>
      </c>
      <c r="L220" s="2">
        <f>SUM(Table1[[#This Row],[Club 1]:[Club 50]])</f>
        <v>0</v>
      </c>
      <c r="M220" s="2">
        <f>SUM(Table1[[#This Row],[Intra-school sports 1]:[Intra-school sports 50]])</f>
        <v>0</v>
      </c>
      <c r="N220" s="2">
        <f>SUM(Table1[[#This Row],[Inter School sports 1]:[Inter School sports 50]])</f>
        <v>0</v>
      </c>
      <c r="O220" s="91">
        <f>COUNTIF(Table1[[#This Row],[Community club (type name of club(s). All clubs will count as ''1'']],"*")</f>
        <v>0</v>
      </c>
      <c r="P220" s="17">
        <f>IF(OR(Table1[[#This Row],[Total Challenges]]&gt;0,Table1[[#This Row],[Total Ex-C Clubs]]&gt;0,Table1[[#This Row],[Total Intra-School Sports]]&gt;0,Table1[[#This Row],[Total Inter-School Sports]]&gt;0,Table1[[#This Row],[Community Clubs]]&gt;0),1,0)</f>
        <v>0</v>
      </c>
      <c r="HI220"/>
      <c r="HJ220" s="19"/>
    </row>
    <row r="221" spans="1:218" x14ac:dyDescent="0.25">
      <c r="A221" t="s">
        <v>57</v>
      </c>
      <c r="E221">
        <f>SUBTOTAL(109,Table1[FSM / PP])</f>
        <v>1</v>
      </c>
      <c r="F221">
        <f>SUBTOTAL(109,Table1[Ethnically Diverse])</f>
        <v>0</v>
      </c>
      <c r="G221">
        <f>SUBTOTAL(109,Table1[EAL])</f>
        <v>1</v>
      </c>
      <c r="H221">
        <f>SUBTOTAL(109,Table1[SEN])</f>
        <v>1</v>
      </c>
      <c r="I221">
        <f>SUBTOTAL(109,Table1[Young Leader])</f>
        <v>0</v>
      </c>
      <c r="J221">
        <f>SUBTOTAL(109,Table1[Least active])</f>
        <v>1</v>
      </c>
      <c r="K221" s="92">
        <f>SUBTOTAL(109,Table1[Total Challenges])</f>
        <v>0</v>
      </c>
      <c r="L221" s="92">
        <f>SUBTOTAL(109,Table1[Total Ex-C Clubs])</f>
        <v>1</v>
      </c>
      <c r="M221" s="92">
        <f>SUBTOTAL(109,Table1[Total Intra-School Sports])</f>
        <v>1</v>
      </c>
      <c r="N221" s="92">
        <f>SUBTOTAL(109,Table1[Total Inter-School Sports])</f>
        <v>0</v>
      </c>
      <c r="O221" s="92">
        <f>SUBTOTAL(109,Table1[Community Clubs])</f>
        <v>0</v>
      </c>
      <c r="P221" s="92">
        <f>SUBTOTAL(109,Table1[Active Opportunity])</f>
        <v>1</v>
      </c>
      <c r="Q221">
        <f>SUBTOTAL(109,Table1[Challenge 1])</f>
        <v>0</v>
      </c>
      <c r="R221">
        <f>SUBTOTAL(109,Table1[Challenge 2])</f>
        <v>0</v>
      </c>
      <c r="S221">
        <f>SUBTOTAL(109,Table1[Challenge 3])</f>
        <v>0</v>
      </c>
      <c r="T221">
        <f>SUBTOTAL(109,Table1[Challenge 4])</f>
        <v>0</v>
      </c>
      <c r="U221">
        <f>SUBTOTAL(109,Table1[Challenge 5])</f>
        <v>0</v>
      </c>
      <c r="V221">
        <f>SUBTOTAL(109,Table1[Challenge 6])</f>
        <v>0</v>
      </c>
      <c r="W221">
        <f>SUBTOTAL(109,Table1[Challenge 7])</f>
        <v>0</v>
      </c>
      <c r="X221">
        <f>SUBTOTAL(109,Table1[Challenge 8])</f>
        <v>0</v>
      </c>
      <c r="Y221">
        <f>SUBTOTAL(109,Table1[Challenge 9])</f>
        <v>0</v>
      </c>
      <c r="Z221">
        <f>SUBTOTAL(109,Table1[Challenge 10])</f>
        <v>0</v>
      </c>
      <c r="AA221">
        <f>SUBTOTAL(109,Table1[Challenge 11])</f>
        <v>0</v>
      </c>
      <c r="AB221">
        <f>SUBTOTAL(109,Table1[Challenge 12])</f>
        <v>0</v>
      </c>
      <c r="AC221">
        <f>SUBTOTAL(109,Table1[Challenge 13])</f>
        <v>0</v>
      </c>
      <c r="AD221">
        <f>SUBTOTAL(109,Table1[Challenge 14])</f>
        <v>0</v>
      </c>
      <c r="AE221">
        <f>SUBTOTAL(109,Table1[Challenge 15])</f>
        <v>0</v>
      </c>
      <c r="AF221">
        <f>SUBTOTAL(109,Table1[Challenge 16])</f>
        <v>0</v>
      </c>
      <c r="AG221">
        <f>SUBTOTAL(109,Table1[Challenge 17])</f>
        <v>0</v>
      </c>
      <c r="AH221">
        <f>SUBTOTAL(109,Table1[Challenge 18])</f>
        <v>0</v>
      </c>
      <c r="AI221">
        <f>SUBTOTAL(109,Table1[Challenge 19])</f>
        <v>0</v>
      </c>
      <c r="AJ221">
        <f>SUBTOTAL(109,Table1[Challenge 20])</f>
        <v>0</v>
      </c>
      <c r="AK221">
        <f>SUBTOTAL(109,Table1[Challenge 21])</f>
        <v>0</v>
      </c>
      <c r="AL221">
        <f>SUBTOTAL(109,Table1[Challenge 22])</f>
        <v>0</v>
      </c>
      <c r="AM221">
        <f>SUBTOTAL(109,Table1[Challenge 23])</f>
        <v>0</v>
      </c>
      <c r="AN221">
        <f>SUBTOTAL(109,Table1[Challenge 24])</f>
        <v>0</v>
      </c>
      <c r="AO221">
        <f>SUBTOTAL(109,Table1[Challenge 25])</f>
        <v>0</v>
      </c>
      <c r="AP221">
        <f>SUBTOTAL(109,Table1[Challenge 26])</f>
        <v>0</v>
      </c>
      <c r="AQ221">
        <f>SUBTOTAL(109,Table1[Challenge 27])</f>
        <v>0</v>
      </c>
      <c r="AR221">
        <f>SUBTOTAL(109,Table1[Challenge 28])</f>
        <v>0</v>
      </c>
      <c r="AS221">
        <f>SUBTOTAL(109,Table1[Challenge 29])</f>
        <v>0</v>
      </c>
      <c r="AT221">
        <f>SUBTOTAL(109,Table1[Challenge 30])</f>
        <v>0</v>
      </c>
      <c r="AU221">
        <f>SUBTOTAL(109,Table1[Challenge 31])</f>
        <v>0</v>
      </c>
      <c r="AV221">
        <f>SUBTOTAL(109,Table1[Challenge 32])</f>
        <v>0</v>
      </c>
      <c r="AW221">
        <f>SUBTOTAL(109,Table1[Challenge 33])</f>
        <v>0</v>
      </c>
      <c r="AX221">
        <f>SUBTOTAL(109,Table1[Challenge 34])</f>
        <v>0</v>
      </c>
      <c r="AY221">
        <f>SUBTOTAL(109,Table1[Challenge 35])</f>
        <v>0</v>
      </c>
      <c r="AZ221">
        <f>SUBTOTAL(109,Table1[Challenge 36])</f>
        <v>0</v>
      </c>
      <c r="BA221">
        <f>SUBTOTAL(109,Table1[Challenge 37])</f>
        <v>0</v>
      </c>
      <c r="BB221">
        <f>SUBTOTAL(109,Table1[Challenge 38])</f>
        <v>0</v>
      </c>
      <c r="BC221">
        <f>SUBTOTAL(109,Table1[Challenge 39])</f>
        <v>0</v>
      </c>
      <c r="BD221">
        <f>SUBTOTAL(109,Table1[Challenge 40])</f>
        <v>0</v>
      </c>
      <c r="BE221">
        <f>SUBTOTAL(109,Table1[Challenge 41])</f>
        <v>0</v>
      </c>
      <c r="BF221">
        <f>SUBTOTAL(109,Table1[Challenge 42])</f>
        <v>0</v>
      </c>
      <c r="BG221">
        <f>SUBTOTAL(109,Table1[Challenge 43])</f>
        <v>0</v>
      </c>
      <c r="BH221">
        <f>SUBTOTAL(109,Table1[Challenge 44])</f>
        <v>0</v>
      </c>
      <c r="BI221">
        <f>SUBTOTAL(109,Table1[Challenge 45])</f>
        <v>0</v>
      </c>
      <c r="BJ221">
        <f>SUBTOTAL(109,Table1[Challenge 46])</f>
        <v>0</v>
      </c>
      <c r="BK221">
        <f>SUBTOTAL(109,Table1[Challenge 47])</f>
        <v>0</v>
      </c>
      <c r="BL221">
        <f>SUBTOTAL(109,Table1[Challenge 48])</f>
        <v>0</v>
      </c>
      <c r="BM221">
        <f>SUBTOTAL(109,Table1[Challenge 49])</f>
        <v>0</v>
      </c>
      <c r="BN221">
        <f>SUBTOTAL(109,Table1[Challenge 50])</f>
        <v>0</v>
      </c>
      <c r="BO221">
        <f>SUBTOTAL(109,Table1[Club 1])</f>
        <v>1</v>
      </c>
      <c r="BP221">
        <f>SUBTOTAL(109,Table1[Club 2])</f>
        <v>0</v>
      </c>
      <c r="BQ221">
        <f>SUBTOTAL(109,Table1[Club 3])</f>
        <v>0</v>
      </c>
      <c r="BR221">
        <f>SUBTOTAL(109,Table1[Club 4])</f>
        <v>0</v>
      </c>
      <c r="BS221">
        <f>SUBTOTAL(109,Table1[Club 5])</f>
        <v>0</v>
      </c>
      <c r="BT221">
        <f>SUBTOTAL(109,Table1[Club 6])</f>
        <v>0</v>
      </c>
      <c r="BU221">
        <f>SUBTOTAL(109,Table1[Club 7])</f>
        <v>0</v>
      </c>
      <c r="BV221">
        <f>SUBTOTAL(109,Table1[Club 8])</f>
        <v>0</v>
      </c>
      <c r="BW221">
        <f>SUBTOTAL(109,Table1[Club 9])</f>
        <v>0</v>
      </c>
      <c r="BX221">
        <f>SUBTOTAL(109,Table1[Club 10])</f>
        <v>0</v>
      </c>
      <c r="BY221">
        <f>SUBTOTAL(109,Table1[Club 11])</f>
        <v>0</v>
      </c>
      <c r="BZ221">
        <f>SUBTOTAL(109,Table1[Club 12])</f>
        <v>0</v>
      </c>
      <c r="CA221">
        <f>SUBTOTAL(109,Table1[Club 13])</f>
        <v>0</v>
      </c>
      <c r="CB221">
        <f>SUBTOTAL(109,Table1[Club 14])</f>
        <v>0</v>
      </c>
      <c r="CC221">
        <f>SUBTOTAL(109,Table1[Club 15])</f>
        <v>0</v>
      </c>
      <c r="CD221">
        <f>SUBTOTAL(109,Table1[Club 16])</f>
        <v>0</v>
      </c>
      <c r="CE221">
        <f>SUBTOTAL(109,Table1[Club 17])</f>
        <v>0</v>
      </c>
      <c r="CF221">
        <f>SUBTOTAL(109,Table1[Club 18])</f>
        <v>0</v>
      </c>
      <c r="CG221">
        <f>SUBTOTAL(109,Table1[Club 19])</f>
        <v>0</v>
      </c>
      <c r="CH221">
        <f>SUBTOTAL(109,Table1[Club 20])</f>
        <v>0</v>
      </c>
      <c r="CI221">
        <f>SUBTOTAL(109,Table1[Club 21])</f>
        <v>0</v>
      </c>
      <c r="CJ221">
        <f>SUBTOTAL(109,Table1[Club 22])</f>
        <v>0</v>
      </c>
      <c r="CK221">
        <f>SUBTOTAL(109,Table1[Club 23])</f>
        <v>0</v>
      </c>
      <c r="CL221">
        <f>SUBTOTAL(109,Table1[Club 24])</f>
        <v>0</v>
      </c>
      <c r="CM221">
        <f>SUBTOTAL(109,Table1[Club 25])</f>
        <v>0</v>
      </c>
      <c r="CN221">
        <f>SUBTOTAL(109,Table1[Club 26])</f>
        <v>0</v>
      </c>
      <c r="CO221">
        <f>SUBTOTAL(109,Table1[Club 27])</f>
        <v>0</v>
      </c>
      <c r="CP221">
        <f>SUBTOTAL(109,Table1[Club 28])</f>
        <v>0</v>
      </c>
      <c r="CQ221">
        <f>SUBTOTAL(109,Table1[Club 29])</f>
        <v>0</v>
      </c>
      <c r="CR221">
        <f>SUBTOTAL(109,Table1[Club 30])</f>
        <v>0</v>
      </c>
      <c r="CS221">
        <f>SUBTOTAL(109,Table1[Club 31])</f>
        <v>0</v>
      </c>
      <c r="CT221">
        <f>SUBTOTAL(109,Table1[Club 32])</f>
        <v>0</v>
      </c>
      <c r="CU221">
        <f>SUBTOTAL(109,Table1[Club 33])</f>
        <v>0</v>
      </c>
      <c r="CV221">
        <f>SUBTOTAL(109,Table1[Club 34])</f>
        <v>0</v>
      </c>
      <c r="CW221">
        <f>SUBTOTAL(109,Table1[Club 35])</f>
        <v>0</v>
      </c>
      <c r="CX221">
        <f>SUBTOTAL(109,Table1[Club 36])</f>
        <v>0</v>
      </c>
      <c r="CY221">
        <f>SUBTOTAL(109,Table1[Club 37])</f>
        <v>0</v>
      </c>
      <c r="CZ221">
        <f>SUBTOTAL(109,Table1[Club 38])</f>
        <v>0</v>
      </c>
      <c r="DA221">
        <f>SUBTOTAL(109,Table1[Club 39])</f>
        <v>0</v>
      </c>
      <c r="DB221">
        <f>SUBTOTAL(109,Table1[Club 40])</f>
        <v>0</v>
      </c>
      <c r="DC221">
        <f>SUBTOTAL(109,Table1[Club 41])</f>
        <v>0</v>
      </c>
      <c r="DD221">
        <f>SUBTOTAL(109,Table1[Club 42])</f>
        <v>0</v>
      </c>
      <c r="DE221">
        <f>SUBTOTAL(109,Table1[Club 43])</f>
        <v>0</v>
      </c>
      <c r="DF221">
        <f>SUBTOTAL(109,Table1[Club 44])</f>
        <v>0</v>
      </c>
      <c r="DG221">
        <f>SUBTOTAL(109,Table1[Club 45])</f>
        <v>0</v>
      </c>
      <c r="DH221">
        <f>SUBTOTAL(109,Table1[Club 46])</f>
        <v>0</v>
      </c>
      <c r="DI221">
        <f>SUBTOTAL(109,Table1[Club 47])</f>
        <v>0</v>
      </c>
      <c r="DJ221">
        <f>SUBTOTAL(109,Table1[Club 48])</f>
        <v>0</v>
      </c>
      <c r="DK221">
        <f>SUBTOTAL(109,Table1[Club 49])</f>
        <v>0</v>
      </c>
      <c r="DL221">
        <f>SUBTOTAL(109,Table1[Club 50])</f>
        <v>0</v>
      </c>
      <c r="DM221">
        <f>SUBTOTAL(109,Table1[Intra-school sports 1])</f>
        <v>0</v>
      </c>
      <c r="DN221">
        <f>SUBTOTAL(109,Table1[Intra-school sports 2])</f>
        <v>0</v>
      </c>
      <c r="DO221">
        <f>SUBTOTAL(109,Table1[Intra-school sports 3])</f>
        <v>1</v>
      </c>
      <c r="DP221">
        <f>SUBTOTAL(109,Table1[Intra-school sports 4])</f>
        <v>0</v>
      </c>
      <c r="DQ221">
        <f>SUBTOTAL(109,Table1[Intra-school sports 5])</f>
        <v>0</v>
      </c>
      <c r="DR221">
        <f>SUBTOTAL(109,Table1[Intra-school sports 6])</f>
        <v>0</v>
      </c>
      <c r="DS221">
        <f>SUBTOTAL(109,Table1[Intra-school sports 7])</f>
        <v>0</v>
      </c>
      <c r="DT221">
        <f>SUBTOTAL(109,Table1[Intra-school sports 8])</f>
        <v>0</v>
      </c>
      <c r="DU221">
        <f>SUBTOTAL(109,Table1[Intra-school sports 9])</f>
        <v>0</v>
      </c>
      <c r="DV221">
        <f>SUBTOTAL(109,Table1[Intra-school sports 10])</f>
        <v>0</v>
      </c>
      <c r="DW221">
        <f>SUBTOTAL(109,Table1[Intra-school sports 11])</f>
        <v>0</v>
      </c>
      <c r="DX221">
        <f>SUBTOTAL(109,Table1[Intra-school sports 12])</f>
        <v>0</v>
      </c>
      <c r="DY221">
        <f>SUBTOTAL(109,Table1[Intra-school sports 13])</f>
        <v>0</v>
      </c>
      <c r="DZ221">
        <f>SUBTOTAL(109,Table1[Intra-school sports 14])</f>
        <v>0</v>
      </c>
      <c r="EA221">
        <f>SUBTOTAL(109,Table1[Intra-school sports 15])</f>
        <v>0</v>
      </c>
      <c r="EB221">
        <f>SUBTOTAL(109,Table1[Intra-school sports 16])</f>
        <v>0</v>
      </c>
      <c r="EC221">
        <f>SUBTOTAL(109,Table1[Intra-school sports 17])</f>
        <v>0</v>
      </c>
      <c r="ED221">
        <f>SUBTOTAL(109,Table1[Intra-school sports 18])</f>
        <v>0</v>
      </c>
      <c r="EE221">
        <f>SUBTOTAL(109,Table1[Intra-school sports 19])</f>
        <v>0</v>
      </c>
      <c r="EF221">
        <f>SUBTOTAL(109,Table1[Intra-school sports 20])</f>
        <v>0</v>
      </c>
      <c r="EG221">
        <f>SUBTOTAL(109,Table1[Intra-school sports 21])</f>
        <v>0</v>
      </c>
      <c r="EH221">
        <f>SUBTOTAL(109,Table1[Intra-school sports 22])</f>
        <v>0</v>
      </c>
      <c r="EI221">
        <f>SUBTOTAL(109,Table1[Intra-school sports 23])</f>
        <v>0</v>
      </c>
      <c r="EJ221">
        <f>SUBTOTAL(109,Table1[Intra-school sports 24])</f>
        <v>0</v>
      </c>
      <c r="EK221">
        <f>SUBTOTAL(109,Table1[Intra-school sports 25])</f>
        <v>0</v>
      </c>
      <c r="EL221">
        <f>SUBTOTAL(109,Table1[Intra-school sports 26])</f>
        <v>0</v>
      </c>
      <c r="EM221">
        <f>SUBTOTAL(109,Table1[Intra-school sports 27])</f>
        <v>0</v>
      </c>
      <c r="EN221">
        <f>SUBTOTAL(109,Table1[Intra-school sports 28])</f>
        <v>0</v>
      </c>
      <c r="EO221">
        <f>SUBTOTAL(109,Table1[Intra-school sports 29])</f>
        <v>0</v>
      </c>
      <c r="EP221">
        <f>SUBTOTAL(109,Table1[Intra-school sports 30])</f>
        <v>0</v>
      </c>
      <c r="EQ221">
        <f>SUBTOTAL(109,Table1[Intra-school sports 31])</f>
        <v>0</v>
      </c>
      <c r="ER221">
        <f>SUBTOTAL(109,Table1[Intra-school sports 32])</f>
        <v>0</v>
      </c>
      <c r="ES221">
        <f>SUBTOTAL(109,Table1[Intra-school sports 33])</f>
        <v>0</v>
      </c>
      <c r="ET221">
        <f>SUBTOTAL(109,Table1[Intra-school sports 34])</f>
        <v>0</v>
      </c>
      <c r="EU221">
        <f>SUBTOTAL(109,Table1[Intra-school sports 35])</f>
        <v>0</v>
      </c>
      <c r="EV221">
        <f>SUBTOTAL(109,Table1[Intra-school sports 36])</f>
        <v>0</v>
      </c>
      <c r="EW221">
        <f>SUBTOTAL(109,Table1[Intra-school sports 37])</f>
        <v>0</v>
      </c>
      <c r="EX221">
        <f>SUBTOTAL(109,Table1[Intra-school sports 38])</f>
        <v>0</v>
      </c>
      <c r="EY221">
        <f>SUBTOTAL(109,Table1[Intra-school sports 39])</f>
        <v>0</v>
      </c>
      <c r="EZ221">
        <f>SUBTOTAL(109,Table1[Intra-school sports 40])</f>
        <v>0</v>
      </c>
      <c r="FA221">
        <f>SUBTOTAL(109,Table1[Intra-school sports 41])</f>
        <v>0</v>
      </c>
      <c r="FB221">
        <f>SUBTOTAL(109,Table1[Intra-school sports 42])</f>
        <v>0</v>
      </c>
      <c r="FC221">
        <f>SUBTOTAL(109,Table1[Intra-school sports 43])</f>
        <v>0</v>
      </c>
      <c r="FD221">
        <f>SUBTOTAL(109,Table1[Intra-school sports 44])</f>
        <v>0</v>
      </c>
      <c r="FE221">
        <f>SUBTOTAL(109,Table1[Intra-school sports 45])</f>
        <v>0</v>
      </c>
      <c r="FF221">
        <f>SUBTOTAL(109,Table1[Intra-school sports 46])</f>
        <v>0</v>
      </c>
      <c r="FG221">
        <f>SUBTOTAL(109,Table1[Intra-school sports 47])</f>
        <v>0</v>
      </c>
      <c r="FH221">
        <f>SUBTOTAL(109,Table1[Intra-school sports 48])</f>
        <v>0</v>
      </c>
      <c r="FI221">
        <f>SUBTOTAL(109,Table1[Intra-school sports 49])</f>
        <v>0</v>
      </c>
      <c r="FJ221">
        <f>SUBTOTAL(109,Table1[Intra-school sports 50])</f>
        <v>0</v>
      </c>
      <c r="FK221">
        <f>SUBTOTAL(109,Table1[Inter School sports 1])</f>
        <v>0</v>
      </c>
      <c r="FL221">
        <f>SUBTOTAL(109,Table1[Inter School sports 2])</f>
        <v>0</v>
      </c>
      <c r="FM221">
        <f>SUBTOTAL(109,Table1[Inter School sports 3])</f>
        <v>0</v>
      </c>
      <c r="FN221">
        <f>SUBTOTAL(109,Table1[Inter School sports 4])</f>
        <v>0</v>
      </c>
      <c r="FO221">
        <f>SUBTOTAL(109,Table1[Inter School sports 5])</f>
        <v>0</v>
      </c>
      <c r="FP221">
        <f>SUBTOTAL(109,Table1[Inter School sports 6])</f>
        <v>0</v>
      </c>
      <c r="FQ221">
        <f>SUBTOTAL(109,Table1[Inter School sports 7])</f>
        <v>0</v>
      </c>
      <c r="FR221">
        <f>SUBTOTAL(109,Table1[Inter School sports 8])</f>
        <v>0</v>
      </c>
      <c r="FS221">
        <f>SUBTOTAL(109,Table1[Inter School sports 9])</f>
        <v>0</v>
      </c>
      <c r="FT221">
        <f>SUBTOTAL(109,Table1[Inter School sports 10])</f>
        <v>0</v>
      </c>
      <c r="FU221">
        <f>SUBTOTAL(109,Table1[Inter School sports 11])</f>
        <v>0</v>
      </c>
      <c r="FV221">
        <f>SUBTOTAL(109,Table1[Inter School sports 12])</f>
        <v>0</v>
      </c>
      <c r="FW221">
        <f>SUBTOTAL(109,Table1[Inter School sports 13])</f>
        <v>0</v>
      </c>
      <c r="FX221">
        <f>SUBTOTAL(109,Table1[Inter School sports 14])</f>
        <v>0</v>
      </c>
      <c r="FY221">
        <f>SUBTOTAL(109,Table1[Inter School sports 15])</f>
        <v>0</v>
      </c>
      <c r="FZ221">
        <f>SUBTOTAL(109,Table1[Inter School sports 16])</f>
        <v>0</v>
      </c>
      <c r="GA221">
        <f>SUBTOTAL(109,Table1[Inter School sports 17])</f>
        <v>0</v>
      </c>
      <c r="GB221">
        <f>SUBTOTAL(109,Table1[Inter School sports 18])</f>
        <v>0</v>
      </c>
      <c r="GC221">
        <f>SUBTOTAL(109,Table1[Inter School sports 19])</f>
        <v>0</v>
      </c>
      <c r="GD221">
        <f>SUBTOTAL(109,Table1[Inter School sports 20])</f>
        <v>0</v>
      </c>
      <c r="GE221">
        <f>SUBTOTAL(109,Table1[Inter School sports 21])</f>
        <v>0</v>
      </c>
      <c r="GF221">
        <f>SUBTOTAL(109,Table1[Inter School sports 22])</f>
        <v>0</v>
      </c>
      <c r="GG221">
        <f>SUBTOTAL(109,Table1[Inter School sports 23])</f>
        <v>0</v>
      </c>
      <c r="GH221">
        <f>SUBTOTAL(109,Table1[Inter School sports 24])</f>
        <v>0</v>
      </c>
      <c r="GI221">
        <f>SUBTOTAL(109,Table1[Inter School sports 25])</f>
        <v>0</v>
      </c>
      <c r="GJ221">
        <f>SUBTOTAL(109,Table1[Inter School sports 26])</f>
        <v>0</v>
      </c>
      <c r="GK221">
        <f>SUBTOTAL(109,Table1[Inter School sports 27])</f>
        <v>0</v>
      </c>
      <c r="GL221">
        <f>SUBTOTAL(109,Table1[Inter School sports 28])</f>
        <v>0</v>
      </c>
      <c r="GM221">
        <f>SUBTOTAL(109,Table1[Inter School sports 29])</f>
        <v>0</v>
      </c>
      <c r="GN221">
        <f>SUBTOTAL(109,Table1[Inter School sports 30])</f>
        <v>0</v>
      </c>
      <c r="GO221">
        <f>SUBTOTAL(109,Table1[Inter School sports 31])</f>
        <v>0</v>
      </c>
      <c r="GP221">
        <f>SUBTOTAL(109,Table1[Inter School sports 32])</f>
        <v>0</v>
      </c>
      <c r="GQ221">
        <f>SUBTOTAL(109,Table1[Inter School sports 33])</f>
        <v>0</v>
      </c>
      <c r="GR221">
        <f>SUBTOTAL(109,Table1[Inter School sports 34])</f>
        <v>0</v>
      </c>
      <c r="GS221">
        <f>SUBTOTAL(109,Table1[Inter School sports 35])</f>
        <v>0</v>
      </c>
      <c r="GT221">
        <f>SUBTOTAL(109,Table1[Inter School sports 36])</f>
        <v>0</v>
      </c>
      <c r="GU221">
        <f>SUBTOTAL(109,Table1[Inter School sports 37])</f>
        <v>0</v>
      </c>
      <c r="GV221">
        <f>SUBTOTAL(109,Table1[Inter School sports 38])</f>
        <v>0</v>
      </c>
      <c r="GW221">
        <f>SUBTOTAL(109,Table1[Inter School sports 39])</f>
        <v>0</v>
      </c>
      <c r="GX221">
        <f>SUBTOTAL(109,Table1[Inter School sports 40])</f>
        <v>0</v>
      </c>
      <c r="GY221">
        <f>SUBTOTAL(109,Table1[Inter School sports 41])</f>
        <v>0</v>
      </c>
      <c r="GZ221">
        <f>SUBTOTAL(109,Table1[Inter School sports 42])</f>
        <v>0</v>
      </c>
      <c r="HA221">
        <f>SUBTOTAL(109,Table1[Inter School sports 43])</f>
        <v>0</v>
      </c>
      <c r="HB221">
        <f>SUBTOTAL(109,Table1[Inter School sports 44])</f>
        <v>0</v>
      </c>
      <c r="HC221">
        <f>SUBTOTAL(109,Table1[Inter School sports 45])</f>
        <v>0</v>
      </c>
      <c r="HD221">
        <f>SUBTOTAL(109,Table1[Inter School sports 46])</f>
        <v>0</v>
      </c>
      <c r="HE221">
        <f>SUBTOTAL(109,Table1[Inter School sports 47])</f>
        <v>0</v>
      </c>
      <c r="HF221">
        <f>SUBTOTAL(109,Table1[Inter School sports 48])</f>
        <v>0</v>
      </c>
      <c r="HG221">
        <f>SUBTOTAL(109,Table1[Inter School sports 49])</f>
        <v>0</v>
      </c>
      <c r="HH221">
        <f>SUBTOTAL(109,Table1[Inter School sports 50])</f>
        <v>0</v>
      </c>
      <c r="HI221"/>
      <c r="HJ221" s="65"/>
    </row>
  </sheetData>
  <mergeCells count="5">
    <mergeCell ref="B1:J1"/>
    <mergeCell ref="BO1:DL1"/>
    <mergeCell ref="Q1:BN1"/>
    <mergeCell ref="DM1:FJ1"/>
    <mergeCell ref="FK1:HH1"/>
  </mergeCells>
  <phoneticPr fontId="16" type="noConversion"/>
  <pageMargins left="0.7" right="0.7" top="0.75" bottom="0.75" header="0.3" footer="0.3"/>
  <drawing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221"/>
  <sheetViews>
    <sheetView showGridLines="0" workbookViewId="0">
      <pane xSplit="10" ySplit="3" topLeftCell="K4" activePane="bottomRight" state="frozen"/>
      <selection pane="topRight" activeCell="K1" sqref="K1"/>
      <selection pane="bottomLeft" activeCell="A4" sqref="A4"/>
      <selection pane="bottomRight" activeCell="DZ8" sqref="DZ8"/>
    </sheetView>
  </sheetViews>
  <sheetFormatPr defaultRowHeight="15" x14ac:dyDescent="0.25"/>
  <cols>
    <col min="1" max="1" width="14.140625" customWidth="1"/>
    <col min="2" max="2" width="13.85546875" customWidth="1"/>
    <col min="3" max="3" width="7.5703125" customWidth="1"/>
    <col min="4" max="4" width="9.28515625" customWidth="1"/>
    <col min="5" max="5" width="3.28515625" customWidth="1"/>
    <col min="6" max="6" width="3.5703125" customWidth="1"/>
    <col min="7" max="9" width="3.28515625" customWidth="1"/>
    <col min="10" max="10" width="4.28515625" customWidth="1"/>
    <col min="11" max="11" width="4.28515625" style="2" customWidth="1"/>
    <col min="12" max="12" width="3.7109375" style="2" customWidth="1"/>
    <col min="13" max="16" width="4.28515625" style="2" customWidth="1"/>
    <col min="17" max="26" width="3.140625" customWidth="1"/>
    <col min="27" max="66" width="3.7109375" hidden="1" customWidth="1"/>
    <col min="67" max="81" width="2.5703125" customWidth="1"/>
    <col min="82" max="116" width="2.85546875" hidden="1" customWidth="1"/>
    <col min="117" max="131" width="3.140625" customWidth="1"/>
    <col min="132" max="166" width="3.7109375" hidden="1" customWidth="1"/>
    <col min="167" max="172" width="3.28515625" customWidth="1"/>
    <col min="173" max="181" width="3.140625" customWidth="1"/>
    <col min="182" max="216" width="3.140625" hidden="1" customWidth="1"/>
    <col min="217" max="217" width="24.140625" style="19" customWidth="1"/>
  </cols>
  <sheetData>
    <row r="1" spans="1:218" ht="43.5" customHeight="1" x14ac:dyDescent="0.25">
      <c r="B1" s="144" t="s">
        <v>315</v>
      </c>
      <c r="C1" s="144"/>
      <c r="D1" s="144"/>
      <c r="E1" s="144"/>
      <c r="F1" s="144"/>
      <c r="G1" s="144"/>
      <c r="H1" s="144"/>
      <c r="I1" s="144"/>
      <c r="J1" s="144"/>
      <c r="K1" s="86"/>
      <c r="L1" s="86"/>
      <c r="M1" s="86"/>
      <c r="N1" s="86"/>
      <c r="O1" s="86"/>
      <c r="P1" s="86"/>
      <c r="Q1" s="145" t="s">
        <v>31</v>
      </c>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6" t="s">
        <v>115</v>
      </c>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8" t="s">
        <v>323</v>
      </c>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9" t="s">
        <v>324</v>
      </c>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73"/>
    </row>
    <row r="2" spans="1:218" s="20" customFormat="1" ht="18.75" customHeight="1" x14ac:dyDescent="0.25">
      <c r="A2" s="20" t="s">
        <v>58</v>
      </c>
      <c r="E2" s="20">
        <f>Table16[[#Totals],[FSM / PP]]</f>
        <v>2</v>
      </c>
      <c r="F2" s="20">
        <f>Table16[[#Totals],[Ethnically Diverse]]</f>
        <v>1</v>
      </c>
      <c r="G2" s="20">
        <f>Table16[[#Totals],[EAL]]</f>
        <v>2</v>
      </c>
      <c r="H2" s="20">
        <f>Table16[[#Totals],[SEN]]</f>
        <v>1</v>
      </c>
      <c r="I2" s="20">
        <f>Table16[[#Totals],[Young Leader]]</f>
        <v>2</v>
      </c>
      <c r="J2" s="20">
        <f>Table16[[#Totals],[Least active]]</f>
        <v>1</v>
      </c>
      <c r="K2" s="87">
        <f>Table16[[#Totals],[Total Challenges]]</f>
        <v>0</v>
      </c>
      <c r="L2" s="87">
        <f>Table16[[#Totals],[Total Ex-C Clubs]]</f>
        <v>4</v>
      </c>
      <c r="M2" s="87">
        <f>Table16[[#Totals],[Total Intra-School Sports]]</f>
        <v>0</v>
      </c>
      <c r="N2" s="87">
        <f>Table16[[#Totals],[Total Inter-School Sports]]</f>
        <v>1</v>
      </c>
      <c r="O2" s="87">
        <f>Table16[[#Totals],[Community Clubs]]</f>
        <v>0</v>
      </c>
      <c r="P2" s="87">
        <f>Table16[[#Totals],[Active Opportunity]]</f>
        <v>4</v>
      </c>
      <c r="Q2" s="20">
        <f>Table16[[#Totals],[Challenge 1]]</f>
        <v>0</v>
      </c>
      <c r="R2" s="20">
        <f>Table16[[#Totals],[Challenge 2]]</f>
        <v>0</v>
      </c>
      <c r="S2" s="20">
        <f>Table16[[#Totals],[Challenge 3]]</f>
        <v>0</v>
      </c>
      <c r="T2" s="20">
        <f>Table16[[#Totals],[Challenge 4]]</f>
        <v>0</v>
      </c>
      <c r="U2" s="20">
        <f>Table16[[#Totals],[Challenge 5]]</f>
        <v>0</v>
      </c>
      <c r="V2" s="20">
        <f>Table16[[#Totals],[Challenge 6]]</f>
        <v>0</v>
      </c>
      <c r="W2" s="20">
        <f>Table16[[#Totals],[Challenge 7]]</f>
        <v>0</v>
      </c>
      <c r="X2" s="20">
        <f>Table16[[#Totals],[Challenge 8]]</f>
        <v>0</v>
      </c>
      <c r="Y2" s="20">
        <f>Table16[[#Totals],[Challenge 9]]</f>
        <v>0</v>
      </c>
      <c r="Z2" s="20">
        <f>Table16[[#Totals],[Challenge 10]]</f>
        <v>0</v>
      </c>
      <c r="AA2" s="20">
        <f>Table16[[#Totals],[Challenge 11]]</f>
        <v>0</v>
      </c>
      <c r="AB2" s="20">
        <f>Table16[[#Totals],[Challenge 12]]</f>
        <v>0</v>
      </c>
      <c r="AC2" s="20">
        <f>Table16[[#Totals],[Challenge 13]]</f>
        <v>0</v>
      </c>
      <c r="AD2" s="20">
        <f>Table16[[#Totals],[Challenge 14]]</f>
        <v>0</v>
      </c>
      <c r="AE2" s="20">
        <f>Table16[[#Totals],[Challenge 15]]</f>
        <v>0</v>
      </c>
      <c r="AF2" s="20">
        <f>Table16[[#Totals],[Challenge 16]]</f>
        <v>0</v>
      </c>
      <c r="AG2" s="20">
        <f>Table16[[#Totals],[Challenge 17]]</f>
        <v>0</v>
      </c>
      <c r="AH2" s="20">
        <f>Table16[[#Totals],[Challenge 18]]</f>
        <v>0</v>
      </c>
      <c r="AI2" s="20">
        <f>Table16[[#Totals],[Challenge 19]]</f>
        <v>0</v>
      </c>
      <c r="AJ2" s="20">
        <f>Table16[[#Totals],[Challenge 20]]</f>
        <v>0</v>
      </c>
      <c r="AK2" s="20">
        <f>Table16[[#Totals],[Challenge 21]]</f>
        <v>0</v>
      </c>
      <c r="AL2" s="20">
        <f>Table16[[#Totals],[Challenge 22]]</f>
        <v>0</v>
      </c>
      <c r="AM2" s="20">
        <f>Table16[[#Totals],[Challenge 23]]</f>
        <v>0</v>
      </c>
      <c r="AN2" s="20">
        <f>Table16[[#Totals],[Challenge 24]]</f>
        <v>0</v>
      </c>
      <c r="AO2" s="20">
        <f>Table16[[#Totals],[Challenge 25]]</f>
        <v>0</v>
      </c>
      <c r="AP2" s="20">
        <f>Table16[[#Totals],[Challenge 26]]</f>
        <v>0</v>
      </c>
      <c r="AQ2" s="20">
        <f>Table16[[#Totals],[Challenge 27]]</f>
        <v>0</v>
      </c>
      <c r="AR2" s="20">
        <f>Table16[[#Totals],[Challenge 28]]</f>
        <v>0</v>
      </c>
      <c r="AS2" s="20">
        <f>Table16[[#Totals],[Challenge 29]]</f>
        <v>0</v>
      </c>
      <c r="AT2" s="20">
        <f>Table16[[#Totals],[Challenge 30]]</f>
        <v>0</v>
      </c>
      <c r="AU2" s="20">
        <f>Table16[[#Totals],[Challenge 31]]</f>
        <v>0</v>
      </c>
      <c r="AV2" s="20">
        <f>Table16[[#Totals],[Challenge 32]]</f>
        <v>0</v>
      </c>
      <c r="AW2" s="20">
        <f>Table16[[#Totals],[Challenge 33]]</f>
        <v>0</v>
      </c>
      <c r="AX2" s="20">
        <f>Table16[[#Totals],[Challenge 34]]</f>
        <v>0</v>
      </c>
      <c r="AY2" s="20">
        <f>Table16[[#Totals],[Challenge 35]]</f>
        <v>0</v>
      </c>
      <c r="AZ2" s="20">
        <f>Table16[[#Totals],[Challenge 36]]</f>
        <v>0</v>
      </c>
      <c r="BA2" s="20">
        <f>Table16[[#Totals],[Challenge 37]]</f>
        <v>0</v>
      </c>
      <c r="BB2" s="20">
        <f>Table16[[#Totals],[Challenge 38]]</f>
        <v>0</v>
      </c>
      <c r="BC2" s="20">
        <f>Table16[[#Totals],[Challenge 39]]</f>
        <v>0</v>
      </c>
      <c r="BD2" s="20">
        <f>Table16[[#Totals],[Challenge 40]]</f>
        <v>0</v>
      </c>
      <c r="BE2" s="20">
        <f>Table16[[#Totals],[Challenge 41]]</f>
        <v>0</v>
      </c>
      <c r="BF2" s="20">
        <f>Table16[[#Totals],[Challenge 42]]</f>
        <v>0</v>
      </c>
      <c r="BG2" s="20">
        <f>Table16[[#Totals],[Challenge 43]]</f>
        <v>0</v>
      </c>
      <c r="BH2" s="20">
        <f>Table16[[#Totals],[Challenge 44]]</f>
        <v>0</v>
      </c>
      <c r="BI2" s="20">
        <f>Table16[[#Totals],[Challenge 45]]</f>
        <v>0</v>
      </c>
      <c r="BJ2" s="20">
        <f>Table16[[#Totals],[Challenge 46]]</f>
        <v>0</v>
      </c>
      <c r="BK2" s="20">
        <f>Table16[[#Totals],[Challenge 47]]</f>
        <v>0</v>
      </c>
      <c r="BL2" s="20">
        <f>Table16[[#Totals],[Challenge 48]]</f>
        <v>0</v>
      </c>
      <c r="BM2" s="20">
        <f>Table16[[#Totals],[Challenge 49]]</f>
        <v>0</v>
      </c>
      <c r="BN2" s="20">
        <f>Table16[[#Totals],[Challenge 50]]</f>
        <v>0</v>
      </c>
      <c r="BO2" s="20">
        <f>Table16[[#Totals],[Club 1]]</f>
        <v>4</v>
      </c>
      <c r="BP2" s="20">
        <f>Table16[[#Totals],[Club 2]]</f>
        <v>0</v>
      </c>
      <c r="BQ2" s="20">
        <f>Table16[[#Totals],[Club 3]]</f>
        <v>0</v>
      </c>
      <c r="BR2" s="20">
        <f>Table16[[#Totals],[Club 4]]</f>
        <v>0</v>
      </c>
      <c r="BS2" s="20">
        <f>Table16[[#Totals],[Club 5]]</f>
        <v>0</v>
      </c>
      <c r="BT2" s="20">
        <f>Table16[[#Totals],[Club 6]]</f>
        <v>0</v>
      </c>
      <c r="BU2" s="20">
        <f>Table16[[#Totals],[Club 7]]</f>
        <v>0</v>
      </c>
      <c r="BV2" s="20">
        <f>Table16[[#Totals],[Club 8]]</f>
        <v>0</v>
      </c>
      <c r="BW2" s="20">
        <f>Table16[[#Totals],[Club 9]]</f>
        <v>0</v>
      </c>
      <c r="BX2" s="20">
        <f>Table16[[#Totals],[Club 10]]</f>
        <v>0</v>
      </c>
      <c r="BY2" s="20">
        <f>Table16[[#Totals],[Club 11]]</f>
        <v>0</v>
      </c>
      <c r="BZ2" s="20">
        <f>Table16[[#Totals],[Club 12]]</f>
        <v>0</v>
      </c>
      <c r="CA2" s="20">
        <f>Table16[[#Totals],[Club 13]]</f>
        <v>0</v>
      </c>
      <c r="CB2" s="20">
        <f>Table16[[#Totals],[Club 14]]</f>
        <v>0</v>
      </c>
      <c r="CC2" s="20">
        <f>Table16[[#Totals],[Club 15]]</f>
        <v>0</v>
      </c>
      <c r="CD2" s="20">
        <f>Table16[[#Totals],[Club 16]]</f>
        <v>0</v>
      </c>
      <c r="CE2" s="20">
        <f>Table16[[#Totals],[Club 17]]</f>
        <v>0</v>
      </c>
      <c r="CF2" s="20">
        <f>Table16[[#Totals],[Club 18]]</f>
        <v>0</v>
      </c>
      <c r="CG2" s="20">
        <f>Table16[[#Totals],[Club 19]]</f>
        <v>0</v>
      </c>
      <c r="CH2" s="20">
        <f>Table16[[#Totals],[Club 20]]</f>
        <v>0</v>
      </c>
      <c r="CI2" s="20">
        <f>Table16[[#Totals],[Club 21]]</f>
        <v>0</v>
      </c>
      <c r="CJ2" s="20">
        <f>Table16[[#Totals],[Club 22]]</f>
        <v>0</v>
      </c>
      <c r="CK2" s="20">
        <f>Table16[[#Totals],[Club 23]]</f>
        <v>0</v>
      </c>
      <c r="CL2" s="20">
        <f>Table16[[#Totals],[Club 24]]</f>
        <v>0</v>
      </c>
      <c r="CM2" s="20">
        <f>Table16[[#Totals],[Club 25]]</f>
        <v>0</v>
      </c>
      <c r="CN2" s="20">
        <f>Table16[[#Totals],[Club 26]]</f>
        <v>0</v>
      </c>
      <c r="CO2" s="20">
        <f>Table16[[#Totals],[Club 27]]</f>
        <v>0</v>
      </c>
      <c r="CP2" s="20">
        <f>Table16[[#Totals],[Club 28]]</f>
        <v>0</v>
      </c>
      <c r="CQ2" s="20">
        <f>Table16[[#Totals],[Club 29]]</f>
        <v>0</v>
      </c>
      <c r="CR2" s="20">
        <f>Table16[[#Totals],[Club 30]]</f>
        <v>0</v>
      </c>
      <c r="CS2" s="20">
        <f>Table16[[#Totals],[Club 31]]</f>
        <v>0</v>
      </c>
      <c r="CT2" s="20">
        <f>Table16[[#Totals],[Club 32]]</f>
        <v>0</v>
      </c>
      <c r="CU2" s="20">
        <f>Table16[[#Totals],[Club 33]]</f>
        <v>0</v>
      </c>
      <c r="CV2" s="20">
        <f>Table16[[#Totals],[Club 34]]</f>
        <v>0</v>
      </c>
      <c r="CW2" s="20">
        <f>Table16[[#Totals],[Club 35]]</f>
        <v>0</v>
      </c>
      <c r="CX2" s="20">
        <f>Table16[[#Totals],[Club 36]]</f>
        <v>0</v>
      </c>
      <c r="CY2" s="20">
        <f>Table16[[#Totals],[Club 37]]</f>
        <v>0</v>
      </c>
      <c r="CZ2" s="20">
        <f>Table16[[#Totals],[Club 38]]</f>
        <v>0</v>
      </c>
      <c r="DA2" s="20">
        <f>Table16[[#Totals],[Club 39]]</f>
        <v>0</v>
      </c>
      <c r="DB2" s="20">
        <f>Table16[[#Totals],[Club 40]]</f>
        <v>0</v>
      </c>
      <c r="DC2" s="20">
        <f>Table16[[#Totals],[Club 41]]</f>
        <v>0</v>
      </c>
      <c r="DD2" s="20">
        <f>Table16[[#Totals],[Club 42]]</f>
        <v>0</v>
      </c>
      <c r="DE2" s="20">
        <f>Table16[[#Totals],[Club 43]]</f>
        <v>0</v>
      </c>
      <c r="DF2" s="20">
        <f>Table16[[#Totals],[Club 44]]</f>
        <v>0</v>
      </c>
      <c r="DG2" s="20">
        <f>Table16[[#Totals],[Club 45]]</f>
        <v>0</v>
      </c>
      <c r="DH2" s="20">
        <f>Table16[[#Totals],[Club 46]]</f>
        <v>0</v>
      </c>
      <c r="DI2" s="20">
        <f>Table16[[#Totals],[Club 47]]</f>
        <v>0</v>
      </c>
      <c r="DJ2" s="20">
        <f>Table16[[#Totals],[Club 48]]</f>
        <v>0</v>
      </c>
      <c r="DK2" s="20">
        <f>Table16[[#Totals],[Club 49]]</f>
        <v>0</v>
      </c>
      <c r="DL2" s="20">
        <f>Table16[[#Totals],[Club 50]]</f>
        <v>0</v>
      </c>
      <c r="DM2" s="20">
        <f>Table16[[#Totals],[Intra-school sports 1]]</f>
        <v>0</v>
      </c>
      <c r="DN2" s="20">
        <f>Table16[[#Totals],[Intra-school sports 2]]</f>
        <v>0</v>
      </c>
      <c r="DO2" s="20">
        <f>Table16[[#Totals],[Intra-school sports 3]]</f>
        <v>0</v>
      </c>
      <c r="DP2" s="20">
        <f>Table16[[#Totals],[Intra-school sports 4]]</f>
        <v>0</v>
      </c>
      <c r="DQ2" s="20">
        <f>Table16[[#Totals],[Intra-school sports 5]]</f>
        <v>0</v>
      </c>
      <c r="DR2" s="20">
        <f>Table16[[#Totals],[Intra-school sports 6]]</f>
        <v>0</v>
      </c>
      <c r="DS2" s="20">
        <f>Table16[[#Totals],[Intra-school sports 7]]</f>
        <v>0</v>
      </c>
      <c r="DT2" s="20">
        <f>Table16[[#Totals],[Intra-school sports 8]]</f>
        <v>0</v>
      </c>
      <c r="DU2" s="20">
        <f>Table16[[#Totals],[Intra-school sports 9]]</f>
        <v>0</v>
      </c>
      <c r="DV2" s="20">
        <f>Table16[[#Totals],[Intra-school sports 10]]</f>
        <v>0</v>
      </c>
      <c r="DW2" s="20">
        <f>Table16[[#Totals],[Intra-school sports 11]]</f>
        <v>0</v>
      </c>
      <c r="DX2" s="20">
        <f>Table16[[#Totals],[Intra-school sports 12]]</f>
        <v>0</v>
      </c>
      <c r="DY2" s="20">
        <f>Table16[[#Totals],[Intra-school sports 13]]</f>
        <v>0</v>
      </c>
      <c r="DZ2" s="20">
        <f>Table16[[#Totals],[Intra-school sports 14]]</f>
        <v>0</v>
      </c>
      <c r="EA2" s="20">
        <f>Table16[[#Totals],[Intra-school sports 15]]</f>
        <v>0</v>
      </c>
      <c r="EB2" s="20">
        <f>Table16[[#Totals],[Intra-school sports 16]]</f>
        <v>0</v>
      </c>
      <c r="EC2" s="20">
        <f>Table16[[#Totals],[Intra-school sports 17]]</f>
        <v>0</v>
      </c>
      <c r="ED2" s="20">
        <f>Table16[[#Totals],[Intra-school sports 18]]</f>
        <v>0</v>
      </c>
      <c r="EE2" s="20">
        <f>Table16[[#Totals],[Intra-school sports 19]]</f>
        <v>0</v>
      </c>
      <c r="EF2" s="20">
        <f>Table16[[#Totals],[Intra-school sports 20]]</f>
        <v>0</v>
      </c>
      <c r="EG2" s="20">
        <f>Table16[[#Totals],[Intra-school sports 21]]</f>
        <v>0</v>
      </c>
      <c r="EH2" s="20">
        <f>Table16[[#Totals],[Intra-school sports 22]]</f>
        <v>0</v>
      </c>
      <c r="EI2" s="20">
        <f>Table16[[#Totals],[Intra-school sports 23]]</f>
        <v>0</v>
      </c>
      <c r="EJ2" s="20">
        <f>Table16[[#Totals],[Intra-school sports 24]]</f>
        <v>0</v>
      </c>
      <c r="EK2" s="20">
        <f>Table16[[#Totals],[Intra-school sports 25]]</f>
        <v>0</v>
      </c>
      <c r="EL2" s="20">
        <f>Table16[[#Totals],[Intra-school sports 26]]</f>
        <v>0</v>
      </c>
      <c r="EM2" s="20">
        <f>Table16[[#Totals],[Intra-school sports 27]]</f>
        <v>0</v>
      </c>
      <c r="EN2" s="20">
        <f>Table16[[#Totals],[Intra-school sports 28]]</f>
        <v>0</v>
      </c>
      <c r="EO2" s="20">
        <f>Table16[[#Totals],[Intra-school sports 29]]</f>
        <v>0</v>
      </c>
      <c r="EP2" s="20">
        <f>Table16[[#Totals],[Intra-school sports 30]]</f>
        <v>0</v>
      </c>
      <c r="EQ2" s="20">
        <f>Table16[[#Totals],[Intra-school sports 31]]</f>
        <v>0</v>
      </c>
      <c r="ER2" s="20">
        <f>Table16[[#Totals],[Intra-school sports 32]]</f>
        <v>0</v>
      </c>
      <c r="ES2" s="20">
        <f>Table16[[#Totals],[Intra-school sports 33]]</f>
        <v>0</v>
      </c>
      <c r="ET2" s="20">
        <f>Table16[[#Totals],[Intra-school sports 34]]</f>
        <v>0</v>
      </c>
      <c r="EU2" s="20">
        <f>Table16[[#Totals],[Intra-school sports 35]]</f>
        <v>0</v>
      </c>
      <c r="EV2" s="20">
        <f>Table16[[#Totals],[Intra-school sports 36]]</f>
        <v>0</v>
      </c>
      <c r="EW2" s="20">
        <f>Table16[[#Totals],[Intra-school sports 37]]</f>
        <v>0</v>
      </c>
      <c r="EX2" s="20">
        <f>Table16[[#Totals],[Intra-school sports 38]]</f>
        <v>0</v>
      </c>
      <c r="EY2" s="20">
        <f>Table16[[#Totals],[Intra-school sports 39]]</f>
        <v>0</v>
      </c>
      <c r="EZ2" s="20">
        <f>Table16[[#Totals],[Intra-school sports 40]]</f>
        <v>0</v>
      </c>
      <c r="FA2" s="20">
        <f>Table16[[#Totals],[Intra-school sports 41]]</f>
        <v>0</v>
      </c>
      <c r="FB2" s="20">
        <f>Table16[[#Totals],[Intra-school sports 42]]</f>
        <v>0</v>
      </c>
      <c r="FC2" s="20">
        <f>Table16[[#Totals],[Intra-school sports 43]]</f>
        <v>0</v>
      </c>
      <c r="FD2" s="20">
        <f>Table16[[#Totals],[Intra-school sports 44]]</f>
        <v>0</v>
      </c>
      <c r="FE2" s="20">
        <f>Table16[[#Totals],[Intra-school sports 45]]</f>
        <v>0</v>
      </c>
      <c r="FF2" s="20">
        <f>Table16[[#Totals],[Intra-school sports 46]]</f>
        <v>0</v>
      </c>
      <c r="FG2" s="20">
        <f>Table16[[#Totals],[Intra-school sports 47]]</f>
        <v>0</v>
      </c>
      <c r="FH2" s="20">
        <f>Table16[[#Totals],[Intra-school sports 48]]</f>
        <v>0</v>
      </c>
      <c r="FI2" s="20">
        <f>Table16[[#Totals],[Intra-school sports 49]]</f>
        <v>0</v>
      </c>
      <c r="FJ2" s="20">
        <f>Table16[[#Totals],[Intra-school sports 50]]</f>
        <v>0</v>
      </c>
      <c r="FK2" s="20">
        <f>Table16[[#Totals],[Inter School sports 1]]</f>
        <v>1</v>
      </c>
      <c r="FL2" s="20">
        <f>Table16[[#Totals],[Inter School sports 2]]</f>
        <v>0</v>
      </c>
      <c r="FM2" s="20">
        <f>Table16[[#Totals],[Inter School sports 3]]</f>
        <v>0</v>
      </c>
      <c r="FN2" s="20">
        <f>Table16[[#Totals],[Inter School sports 4]]</f>
        <v>0</v>
      </c>
      <c r="FO2" s="20">
        <f>Table16[[#Totals],[Inter School sports 5]]</f>
        <v>0</v>
      </c>
      <c r="FP2" s="20">
        <f>Table16[[#Totals],[Inter School sports 6]]</f>
        <v>0</v>
      </c>
      <c r="FQ2" s="20">
        <f>Table16[[#Totals],[Inter School sports 7]]</f>
        <v>0</v>
      </c>
      <c r="FR2" s="20">
        <f>Table16[[#Totals],[Inter School sports 8]]</f>
        <v>0</v>
      </c>
      <c r="FS2" s="20">
        <f>Table16[[#Totals],[Inter School sports 9]]</f>
        <v>0</v>
      </c>
      <c r="FT2" s="20">
        <f>Table16[[#Totals],[Inter School sports 10]]</f>
        <v>0</v>
      </c>
      <c r="FU2" s="20">
        <f>Table16[[#Totals],[Inter School sports 11]]</f>
        <v>0</v>
      </c>
      <c r="FV2" s="20">
        <f>Table16[[#Totals],[Inter School sports 12]]</f>
        <v>0</v>
      </c>
      <c r="FW2" s="20">
        <f>Table16[[#Totals],[Inter School sports 13]]</f>
        <v>0</v>
      </c>
      <c r="FX2" s="20">
        <f>Table16[[#Totals],[Inter School sports 14]]</f>
        <v>0</v>
      </c>
      <c r="FY2" s="20">
        <f>Table16[[#Totals],[Inter School sports 15]]</f>
        <v>0</v>
      </c>
      <c r="FZ2" s="20">
        <f>Table16[[#Totals],[Inter School sports 16]]</f>
        <v>0</v>
      </c>
      <c r="GA2" s="20">
        <f>Table16[[#Totals],[Inter School sports 17]]</f>
        <v>0</v>
      </c>
      <c r="GB2" s="20">
        <f>Table16[[#Totals],[Inter School sports 18]]</f>
        <v>0</v>
      </c>
      <c r="GC2" s="20">
        <f>Table16[[#Totals],[Inter School sports 19]]</f>
        <v>0</v>
      </c>
      <c r="GD2" s="20">
        <f>Table16[[#Totals],[Inter School sports 20]]</f>
        <v>0</v>
      </c>
      <c r="GE2" s="20">
        <f>Table16[[#Totals],[Inter School sports 21]]</f>
        <v>0</v>
      </c>
      <c r="GF2" s="20">
        <f>Table16[[#Totals],[Inter School sports 22]]</f>
        <v>0</v>
      </c>
      <c r="GG2" s="20">
        <f>Table16[[#Totals],[Inter School sports 23]]</f>
        <v>0</v>
      </c>
      <c r="GH2" s="20">
        <f>Table16[[#Totals],[Inter School sports 24]]</f>
        <v>0</v>
      </c>
      <c r="GI2" s="20">
        <f>Table16[[#Totals],[Inter School sports 25]]</f>
        <v>0</v>
      </c>
      <c r="GJ2" s="20">
        <f>Table16[[#Totals],[Inter School sports 26]]</f>
        <v>0</v>
      </c>
      <c r="GK2" s="20">
        <f>Table16[[#Totals],[Inter School sports 27]]</f>
        <v>0</v>
      </c>
      <c r="GL2" s="20">
        <f>Table16[[#Totals],[Inter School sports 28]]</f>
        <v>0</v>
      </c>
      <c r="GM2" s="20">
        <f>Table16[[#Totals],[Inter School sports 29]]</f>
        <v>0</v>
      </c>
      <c r="GN2" s="20">
        <f>Table16[[#Totals],[Inter School sports 30]]</f>
        <v>0</v>
      </c>
      <c r="GO2" s="20">
        <f>Table16[[#Totals],[Inter School sports 31]]</f>
        <v>0</v>
      </c>
      <c r="GP2" s="20">
        <f>Table16[[#Totals],[Inter School sports 32]]</f>
        <v>0</v>
      </c>
      <c r="GQ2" s="20">
        <f>Table16[[#Totals],[Inter School sports 33]]</f>
        <v>0</v>
      </c>
      <c r="GR2" s="20">
        <f>Table16[[#Totals],[Inter School sports 34]]</f>
        <v>0</v>
      </c>
      <c r="GS2" s="20">
        <f>Table16[[#Totals],[Inter School sports 35]]</f>
        <v>0</v>
      </c>
      <c r="GT2" s="20">
        <f>Table16[[#Totals],[Inter School sports 36]]</f>
        <v>0</v>
      </c>
      <c r="GU2" s="20">
        <f>Table16[[#Totals],[Inter School sports 37]]</f>
        <v>0</v>
      </c>
      <c r="GV2" s="20">
        <f>Table16[[#Totals],[Inter School sports 38]]</f>
        <v>0</v>
      </c>
      <c r="GW2" s="20">
        <f>Table16[[#Totals],[Inter School sports 39]]</f>
        <v>0</v>
      </c>
      <c r="GX2" s="20">
        <f>Table16[[#Totals],[Inter School sports 40]]</f>
        <v>0</v>
      </c>
      <c r="GY2" s="20">
        <f>Table16[[#Totals],[Inter School sports 41]]</f>
        <v>0</v>
      </c>
      <c r="GZ2" s="20">
        <f>Table16[[#Totals],[Inter School sports 42]]</f>
        <v>0</v>
      </c>
      <c r="HA2" s="20">
        <f>Table16[[#Totals],[Inter School sports 43]]</f>
        <v>0</v>
      </c>
      <c r="HB2" s="20">
        <f>Table16[[#Totals],[Inter School sports 44]]</f>
        <v>0</v>
      </c>
      <c r="HC2" s="20">
        <f>Table16[[#Totals],[Inter School sports 45]]</f>
        <v>0</v>
      </c>
      <c r="HD2" s="20">
        <f>Table16[[#Totals],[Inter School sports 46]]</f>
        <v>0</v>
      </c>
      <c r="HE2" s="20">
        <f>Table16[[#Totals],[Inter School sports 47]]</f>
        <v>0</v>
      </c>
      <c r="HF2" s="20">
        <f>Table16[[#Totals],[Inter School sports 48]]</f>
        <v>0</v>
      </c>
      <c r="HG2" s="20">
        <f>Table16[[#Totals],[Inter School sports 49]]</f>
        <v>0</v>
      </c>
      <c r="HH2" s="20">
        <f>Table16[[#Totals],[Inter School sports 50]]</f>
        <v>0</v>
      </c>
      <c r="HJ2"/>
    </row>
    <row r="3" spans="1:218" ht="129.75" customHeight="1" x14ac:dyDescent="0.25">
      <c r="A3" s="15" t="s">
        <v>39</v>
      </c>
      <c r="B3" s="15" t="s">
        <v>40</v>
      </c>
      <c r="C3" s="15" t="s">
        <v>41</v>
      </c>
      <c r="D3" s="15" t="s">
        <v>317</v>
      </c>
      <c r="E3" s="16" t="s">
        <v>316</v>
      </c>
      <c r="F3" s="16" t="s">
        <v>332</v>
      </c>
      <c r="G3" s="16" t="s">
        <v>42</v>
      </c>
      <c r="H3" s="16" t="s">
        <v>43</v>
      </c>
      <c r="I3" s="16" t="s">
        <v>44</v>
      </c>
      <c r="J3" s="16" t="s">
        <v>74</v>
      </c>
      <c r="K3" s="23" t="s">
        <v>318</v>
      </c>
      <c r="L3" s="25" t="s">
        <v>319</v>
      </c>
      <c r="M3" s="26" t="s">
        <v>320</v>
      </c>
      <c r="N3" s="27" t="s">
        <v>321</v>
      </c>
      <c r="O3" s="74" t="s">
        <v>306</v>
      </c>
      <c r="P3" s="82" t="s">
        <v>322</v>
      </c>
      <c r="Q3" s="23" t="s">
        <v>51</v>
      </c>
      <c r="R3" s="23" t="s">
        <v>52</v>
      </c>
      <c r="S3" s="23" t="s">
        <v>53</v>
      </c>
      <c r="T3" s="23" t="s">
        <v>54</v>
      </c>
      <c r="U3" s="23" t="s">
        <v>55</v>
      </c>
      <c r="V3" s="23" t="s">
        <v>56</v>
      </c>
      <c r="W3" s="23" t="s">
        <v>162</v>
      </c>
      <c r="X3" s="23" t="s">
        <v>163</v>
      </c>
      <c r="Y3" s="23" t="s">
        <v>164</v>
      </c>
      <c r="Z3" s="23" t="s">
        <v>165</v>
      </c>
      <c r="AA3" s="23" t="s">
        <v>166</v>
      </c>
      <c r="AB3" s="23" t="s">
        <v>167</v>
      </c>
      <c r="AC3" s="23" t="s">
        <v>168</v>
      </c>
      <c r="AD3" s="23" t="s">
        <v>169</v>
      </c>
      <c r="AE3" s="23" t="s">
        <v>170</v>
      </c>
      <c r="AF3" s="23" t="s">
        <v>171</v>
      </c>
      <c r="AG3" s="23" t="s">
        <v>172</v>
      </c>
      <c r="AH3" s="23" t="s">
        <v>173</v>
      </c>
      <c r="AI3" s="23" t="s">
        <v>174</v>
      </c>
      <c r="AJ3" s="23" t="s">
        <v>175</v>
      </c>
      <c r="AK3" s="23" t="s">
        <v>176</v>
      </c>
      <c r="AL3" s="23" t="s">
        <v>177</v>
      </c>
      <c r="AM3" s="23" t="s">
        <v>178</v>
      </c>
      <c r="AN3" s="23" t="s">
        <v>179</v>
      </c>
      <c r="AO3" s="23" t="s">
        <v>180</v>
      </c>
      <c r="AP3" s="23" t="s">
        <v>181</v>
      </c>
      <c r="AQ3" s="23" t="s">
        <v>182</v>
      </c>
      <c r="AR3" s="23" t="s">
        <v>183</v>
      </c>
      <c r="AS3" s="23" t="s">
        <v>184</v>
      </c>
      <c r="AT3" s="23" t="s">
        <v>185</v>
      </c>
      <c r="AU3" s="23" t="s">
        <v>186</v>
      </c>
      <c r="AV3" s="23" t="s">
        <v>187</v>
      </c>
      <c r="AW3" s="23" t="s">
        <v>188</v>
      </c>
      <c r="AX3" s="23" t="s">
        <v>189</v>
      </c>
      <c r="AY3" s="23" t="s">
        <v>190</v>
      </c>
      <c r="AZ3" s="23" t="s">
        <v>191</v>
      </c>
      <c r="BA3" s="23" t="s">
        <v>192</v>
      </c>
      <c r="BB3" s="23" t="s">
        <v>193</v>
      </c>
      <c r="BC3" s="23" t="s">
        <v>194</v>
      </c>
      <c r="BD3" s="23" t="s">
        <v>195</v>
      </c>
      <c r="BE3" s="23" t="s">
        <v>196</v>
      </c>
      <c r="BF3" s="23" t="s">
        <v>197</v>
      </c>
      <c r="BG3" s="23" t="s">
        <v>198</v>
      </c>
      <c r="BH3" s="23" t="s">
        <v>199</v>
      </c>
      <c r="BI3" s="23" t="s">
        <v>200</v>
      </c>
      <c r="BJ3" s="23" t="s">
        <v>201</v>
      </c>
      <c r="BK3" s="23" t="s">
        <v>202</v>
      </c>
      <c r="BL3" s="23" t="s">
        <v>203</v>
      </c>
      <c r="BM3" s="23" t="s">
        <v>204</v>
      </c>
      <c r="BN3" s="23" t="s">
        <v>205</v>
      </c>
      <c r="BO3" s="24" t="s">
        <v>45</v>
      </c>
      <c r="BP3" s="24" t="s">
        <v>46</v>
      </c>
      <c r="BQ3" s="24" t="s">
        <v>47</v>
      </c>
      <c r="BR3" s="24" t="s">
        <v>48</v>
      </c>
      <c r="BS3" s="24" t="s">
        <v>49</v>
      </c>
      <c r="BT3" s="24" t="s">
        <v>50</v>
      </c>
      <c r="BU3" s="24" t="s">
        <v>117</v>
      </c>
      <c r="BV3" s="24" t="s">
        <v>123</v>
      </c>
      <c r="BW3" s="24" t="s">
        <v>124</v>
      </c>
      <c r="BX3" s="24" t="s">
        <v>125</v>
      </c>
      <c r="BY3" s="24" t="s">
        <v>126</v>
      </c>
      <c r="BZ3" s="24" t="s">
        <v>127</v>
      </c>
      <c r="CA3" s="24" t="s">
        <v>128</v>
      </c>
      <c r="CB3" s="24" t="s">
        <v>129</v>
      </c>
      <c r="CC3" s="24" t="s">
        <v>130</v>
      </c>
      <c r="CD3" s="24" t="s">
        <v>131</v>
      </c>
      <c r="CE3" s="24" t="s">
        <v>132</v>
      </c>
      <c r="CF3" s="24" t="s">
        <v>133</v>
      </c>
      <c r="CG3" s="24" t="s">
        <v>134</v>
      </c>
      <c r="CH3" s="24" t="s">
        <v>135</v>
      </c>
      <c r="CI3" s="24" t="s">
        <v>136</v>
      </c>
      <c r="CJ3" s="24" t="s">
        <v>137</v>
      </c>
      <c r="CK3" s="24" t="s">
        <v>138</v>
      </c>
      <c r="CL3" s="24" t="s">
        <v>139</v>
      </c>
      <c r="CM3" s="24" t="s">
        <v>140</v>
      </c>
      <c r="CN3" s="24" t="s">
        <v>141</v>
      </c>
      <c r="CO3" s="24" t="s">
        <v>142</v>
      </c>
      <c r="CP3" s="24" t="s">
        <v>143</v>
      </c>
      <c r="CQ3" s="24" t="s">
        <v>144</v>
      </c>
      <c r="CR3" s="24" t="s">
        <v>145</v>
      </c>
      <c r="CS3" s="24" t="s">
        <v>146</v>
      </c>
      <c r="CT3" s="24" t="s">
        <v>119</v>
      </c>
      <c r="CU3" s="24" t="s">
        <v>120</v>
      </c>
      <c r="CV3" s="24" t="s">
        <v>121</v>
      </c>
      <c r="CW3" s="24" t="s">
        <v>122</v>
      </c>
      <c r="CX3" s="24" t="s">
        <v>147</v>
      </c>
      <c r="CY3" s="24" t="s">
        <v>148</v>
      </c>
      <c r="CZ3" s="24" t="s">
        <v>149</v>
      </c>
      <c r="DA3" s="24" t="s">
        <v>150</v>
      </c>
      <c r="DB3" s="24" t="s">
        <v>151</v>
      </c>
      <c r="DC3" s="24" t="s">
        <v>152</v>
      </c>
      <c r="DD3" s="24" t="s">
        <v>153</v>
      </c>
      <c r="DE3" s="24" t="s">
        <v>154</v>
      </c>
      <c r="DF3" s="24" t="s">
        <v>155</v>
      </c>
      <c r="DG3" s="24" t="s">
        <v>156</v>
      </c>
      <c r="DH3" s="24" t="s">
        <v>157</v>
      </c>
      <c r="DI3" s="24" t="s">
        <v>158</v>
      </c>
      <c r="DJ3" s="24" t="s">
        <v>159</v>
      </c>
      <c r="DK3" s="24" t="s">
        <v>160</v>
      </c>
      <c r="DL3" s="24" t="s">
        <v>161</v>
      </c>
      <c r="DM3" s="26" t="s">
        <v>62</v>
      </c>
      <c r="DN3" s="26" t="s">
        <v>63</v>
      </c>
      <c r="DO3" s="26" t="s">
        <v>64</v>
      </c>
      <c r="DP3" s="26" t="s">
        <v>65</v>
      </c>
      <c r="DQ3" s="26" t="s">
        <v>66</v>
      </c>
      <c r="DR3" s="26" t="s">
        <v>67</v>
      </c>
      <c r="DS3" s="26" t="s">
        <v>206</v>
      </c>
      <c r="DT3" s="26" t="s">
        <v>207</v>
      </c>
      <c r="DU3" s="26" t="s">
        <v>208</v>
      </c>
      <c r="DV3" s="26" t="s">
        <v>209</v>
      </c>
      <c r="DW3" s="26" t="s">
        <v>210</v>
      </c>
      <c r="DX3" s="26" t="s">
        <v>211</v>
      </c>
      <c r="DY3" s="26" t="s">
        <v>212</v>
      </c>
      <c r="DZ3" s="26" t="s">
        <v>213</v>
      </c>
      <c r="EA3" s="26" t="s">
        <v>214</v>
      </c>
      <c r="EB3" s="26" t="s">
        <v>215</v>
      </c>
      <c r="EC3" s="26" t="s">
        <v>216</v>
      </c>
      <c r="ED3" s="26" t="s">
        <v>217</v>
      </c>
      <c r="EE3" s="26" t="s">
        <v>218</v>
      </c>
      <c r="EF3" s="26" t="s">
        <v>219</v>
      </c>
      <c r="EG3" s="26" t="s">
        <v>220</v>
      </c>
      <c r="EH3" s="26" t="s">
        <v>221</v>
      </c>
      <c r="EI3" s="26" t="s">
        <v>222</v>
      </c>
      <c r="EJ3" s="26" t="s">
        <v>223</v>
      </c>
      <c r="EK3" s="26" t="s">
        <v>224</v>
      </c>
      <c r="EL3" s="26" t="s">
        <v>225</v>
      </c>
      <c r="EM3" s="26" t="s">
        <v>226</v>
      </c>
      <c r="EN3" s="26" t="s">
        <v>227</v>
      </c>
      <c r="EO3" s="26" t="s">
        <v>228</v>
      </c>
      <c r="EP3" s="26" t="s">
        <v>229</v>
      </c>
      <c r="EQ3" s="26" t="s">
        <v>230</v>
      </c>
      <c r="ER3" s="26" t="s">
        <v>231</v>
      </c>
      <c r="ES3" s="26" t="s">
        <v>232</v>
      </c>
      <c r="ET3" s="26" t="s">
        <v>233</v>
      </c>
      <c r="EU3" s="26" t="s">
        <v>234</v>
      </c>
      <c r="EV3" s="26" t="s">
        <v>235</v>
      </c>
      <c r="EW3" s="26" t="s">
        <v>236</v>
      </c>
      <c r="EX3" s="26" t="s">
        <v>237</v>
      </c>
      <c r="EY3" s="26" t="s">
        <v>238</v>
      </c>
      <c r="EZ3" s="26" t="s">
        <v>239</v>
      </c>
      <c r="FA3" s="26" t="s">
        <v>240</v>
      </c>
      <c r="FB3" s="26" t="s">
        <v>241</v>
      </c>
      <c r="FC3" s="26" t="s">
        <v>242</v>
      </c>
      <c r="FD3" s="26" t="s">
        <v>243</v>
      </c>
      <c r="FE3" s="26" t="s">
        <v>244</v>
      </c>
      <c r="FF3" s="26" t="s">
        <v>245</v>
      </c>
      <c r="FG3" s="26" t="s">
        <v>246</v>
      </c>
      <c r="FH3" s="26" t="s">
        <v>247</v>
      </c>
      <c r="FI3" s="26" t="s">
        <v>248</v>
      </c>
      <c r="FJ3" s="26" t="s">
        <v>249</v>
      </c>
      <c r="FK3" s="27" t="s">
        <v>68</v>
      </c>
      <c r="FL3" s="27" t="s">
        <v>69</v>
      </c>
      <c r="FM3" s="27" t="s">
        <v>70</v>
      </c>
      <c r="FN3" s="27" t="s">
        <v>71</v>
      </c>
      <c r="FO3" s="27" t="s">
        <v>72</v>
      </c>
      <c r="FP3" s="27" t="s">
        <v>73</v>
      </c>
      <c r="FQ3" s="27" t="s">
        <v>118</v>
      </c>
      <c r="FR3" s="27" t="s">
        <v>250</v>
      </c>
      <c r="FS3" s="27" t="s">
        <v>251</v>
      </c>
      <c r="FT3" s="27" t="s">
        <v>252</v>
      </c>
      <c r="FU3" s="27" t="s">
        <v>253</v>
      </c>
      <c r="FV3" s="27" t="s">
        <v>254</v>
      </c>
      <c r="FW3" s="27" t="s">
        <v>255</v>
      </c>
      <c r="FX3" s="27" t="s">
        <v>256</v>
      </c>
      <c r="FY3" s="27" t="s">
        <v>257</v>
      </c>
      <c r="FZ3" s="27" t="s">
        <v>258</v>
      </c>
      <c r="GA3" s="27" t="s">
        <v>259</v>
      </c>
      <c r="GB3" s="27" t="s">
        <v>260</v>
      </c>
      <c r="GC3" s="27" t="s">
        <v>261</v>
      </c>
      <c r="GD3" s="27" t="s">
        <v>262</v>
      </c>
      <c r="GE3" s="27" t="s">
        <v>263</v>
      </c>
      <c r="GF3" s="27" t="s">
        <v>264</v>
      </c>
      <c r="GG3" s="27" t="s">
        <v>265</v>
      </c>
      <c r="GH3" s="27" t="s">
        <v>266</v>
      </c>
      <c r="GI3" s="27" t="s">
        <v>267</v>
      </c>
      <c r="GJ3" s="27" t="s">
        <v>268</v>
      </c>
      <c r="GK3" s="27" t="s">
        <v>269</v>
      </c>
      <c r="GL3" s="27" t="s">
        <v>270</v>
      </c>
      <c r="GM3" s="27" t="s">
        <v>271</v>
      </c>
      <c r="GN3" s="27" t="s">
        <v>272</v>
      </c>
      <c r="GO3" s="27" t="s">
        <v>273</v>
      </c>
      <c r="GP3" s="27" t="s">
        <v>274</v>
      </c>
      <c r="GQ3" s="27" t="s">
        <v>275</v>
      </c>
      <c r="GR3" s="27" t="s">
        <v>276</v>
      </c>
      <c r="GS3" s="27" t="s">
        <v>277</v>
      </c>
      <c r="GT3" s="27" t="s">
        <v>278</v>
      </c>
      <c r="GU3" s="27" t="s">
        <v>279</v>
      </c>
      <c r="GV3" s="27" t="s">
        <v>280</v>
      </c>
      <c r="GW3" s="27" t="s">
        <v>281</v>
      </c>
      <c r="GX3" s="27" t="s">
        <v>282</v>
      </c>
      <c r="GY3" s="27" t="s">
        <v>283</v>
      </c>
      <c r="GZ3" s="27" t="s">
        <v>284</v>
      </c>
      <c r="HA3" s="27" t="s">
        <v>285</v>
      </c>
      <c r="HB3" s="27" t="s">
        <v>286</v>
      </c>
      <c r="HC3" s="27" t="s">
        <v>287</v>
      </c>
      <c r="HD3" s="27" t="s">
        <v>288</v>
      </c>
      <c r="HE3" s="27" t="s">
        <v>289</v>
      </c>
      <c r="HF3" s="27" t="s">
        <v>290</v>
      </c>
      <c r="HG3" s="27" t="s">
        <v>291</v>
      </c>
      <c r="HH3" s="27" t="s">
        <v>292</v>
      </c>
      <c r="HI3" s="75" t="s">
        <v>307</v>
      </c>
    </row>
    <row r="4" spans="1:218" x14ac:dyDescent="0.25">
      <c r="A4" s="22" t="s">
        <v>61</v>
      </c>
      <c r="B4" s="22" t="s">
        <v>61</v>
      </c>
      <c r="C4" s="22" t="s">
        <v>59</v>
      </c>
      <c r="D4" s="22" t="s">
        <v>60</v>
      </c>
      <c r="E4" s="22">
        <v>1</v>
      </c>
      <c r="F4" s="22">
        <v>0</v>
      </c>
      <c r="G4" s="22">
        <v>1</v>
      </c>
      <c r="H4" s="22">
        <v>0</v>
      </c>
      <c r="I4" s="22">
        <v>1</v>
      </c>
      <c r="J4" s="22">
        <v>0</v>
      </c>
      <c r="K4" s="17">
        <f>SUM(Table16[[#This Row],[Challenge 1]:[Challenge 50]])</f>
        <v>0</v>
      </c>
      <c r="L4" s="88">
        <f>SUM(Table16[[#This Row],[Club 1]:[Club 50]])</f>
        <v>1</v>
      </c>
      <c r="M4" s="88">
        <f>SUM(Table16[[#This Row],[Intra-school sports 1]:[Intra-school sports 50]])</f>
        <v>0</v>
      </c>
      <c r="N4" s="88">
        <f>SUM(Table16[[#This Row],[Inter School sports 1]:[Inter School sports 50]])</f>
        <v>1</v>
      </c>
      <c r="O4" s="17">
        <f>COUNTIF(Table16[[#This Row],[Community club (type name of club(s). All clubs will count as ''1'']],"*")</f>
        <v>0</v>
      </c>
      <c r="P4" s="17">
        <f>IF(OR(Table16[[#This Row],[Total Challenges]]&gt;0,Table16[[#This Row],[Total Ex-C Clubs]]&gt;0,Table16[[#This Row],[Total Intra-School Sports]]&gt;0,Table16[[#This Row],[Total Inter-School Sports]]&gt;0,Table16[[#This Row],[Community Clubs]]&gt;0),1,0)</f>
        <v>1</v>
      </c>
      <c r="Q4" s="22">
        <v>0</v>
      </c>
      <c r="R4" s="22">
        <v>0</v>
      </c>
      <c r="S4" s="22">
        <v>0</v>
      </c>
      <c r="T4" s="22">
        <v>0</v>
      </c>
      <c r="U4" s="22">
        <v>0</v>
      </c>
      <c r="V4" s="22">
        <v>0</v>
      </c>
      <c r="W4" s="22">
        <v>0</v>
      </c>
      <c r="X4" s="22">
        <v>0</v>
      </c>
      <c r="Y4" s="22">
        <v>0</v>
      </c>
      <c r="Z4" s="22">
        <v>0</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18">
        <v>1</v>
      </c>
      <c r="BP4" s="18">
        <v>0</v>
      </c>
      <c r="BQ4" s="18">
        <v>0</v>
      </c>
      <c r="BR4" s="18">
        <v>0</v>
      </c>
      <c r="BS4" s="18">
        <v>0</v>
      </c>
      <c r="BT4" s="18">
        <v>0</v>
      </c>
      <c r="BU4" s="18">
        <v>0</v>
      </c>
      <c r="BV4" s="18">
        <v>0</v>
      </c>
      <c r="BW4" s="18">
        <v>0</v>
      </c>
      <c r="BX4" s="18">
        <v>0</v>
      </c>
      <c r="BY4" s="18">
        <v>0</v>
      </c>
      <c r="BZ4" s="18">
        <v>0</v>
      </c>
      <c r="CA4" s="18">
        <v>0</v>
      </c>
      <c r="CB4" s="18">
        <v>0</v>
      </c>
      <c r="CC4" s="18">
        <v>0</v>
      </c>
      <c r="CD4" s="18">
        <v>0</v>
      </c>
      <c r="CE4" s="18">
        <v>0</v>
      </c>
      <c r="CF4" s="18">
        <v>0</v>
      </c>
      <c r="CG4" s="18">
        <v>0</v>
      </c>
      <c r="CH4" s="18">
        <v>0</v>
      </c>
      <c r="CI4" s="18">
        <v>0</v>
      </c>
      <c r="CJ4" s="18">
        <v>0</v>
      </c>
      <c r="CK4" s="18">
        <v>0</v>
      </c>
      <c r="CL4" s="18">
        <v>0</v>
      </c>
      <c r="CM4" s="18">
        <v>0</v>
      </c>
      <c r="CN4" s="18">
        <v>0</v>
      </c>
      <c r="CO4" s="18">
        <v>0</v>
      </c>
      <c r="CP4" s="18">
        <v>0</v>
      </c>
      <c r="CQ4" s="18">
        <v>0</v>
      </c>
      <c r="CR4" s="18">
        <v>0</v>
      </c>
      <c r="CS4" s="18">
        <v>0</v>
      </c>
      <c r="CT4" s="18">
        <v>0</v>
      </c>
      <c r="CU4" s="18">
        <v>0</v>
      </c>
      <c r="CV4" s="18">
        <v>0</v>
      </c>
      <c r="CW4" s="18">
        <v>0</v>
      </c>
      <c r="CX4" s="18">
        <v>0</v>
      </c>
      <c r="CY4" s="18">
        <v>0</v>
      </c>
      <c r="CZ4" s="18">
        <v>0</v>
      </c>
      <c r="DA4" s="18">
        <v>0</v>
      </c>
      <c r="DB4" s="18">
        <v>0</v>
      </c>
      <c r="DC4" s="18">
        <v>0</v>
      </c>
      <c r="DD4" s="18">
        <v>0</v>
      </c>
      <c r="DE4" s="18">
        <v>0</v>
      </c>
      <c r="DF4" s="18">
        <v>0</v>
      </c>
      <c r="DG4" s="18">
        <v>0</v>
      </c>
      <c r="DH4" s="18">
        <v>0</v>
      </c>
      <c r="DI4" s="18">
        <v>0</v>
      </c>
      <c r="DJ4" s="18">
        <v>0</v>
      </c>
      <c r="DK4" s="18">
        <v>0</v>
      </c>
      <c r="DL4" s="18">
        <v>0</v>
      </c>
      <c r="DM4" s="18">
        <v>0</v>
      </c>
      <c r="DN4" s="18">
        <v>0</v>
      </c>
      <c r="DO4" s="18">
        <v>0</v>
      </c>
      <c r="DP4" s="18">
        <v>0</v>
      </c>
      <c r="DQ4" s="18">
        <v>0</v>
      </c>
      <c r="DR4" s="18">
        <v>0</v>
      </c>
      <c r="DS4" s="18">
        <v>0</v>
      </c>
      <c r="DT4" s="18">
        <v>0</v>
      </c>
      <c r="DU4" s="18">
        <v>0</v>
      </c>
      <c r="DV4" s="18">
        <v>0</v>
      </c>
      <c r="DW4" s="18">
        <v>0</v>
      </c>
      <c r="DX4" s="18">
        <v>0</v>
      </c>
      <c r="DY4" s="18">
        <v>0</v>
      </c>
      <c r="DZ4" s="18">
        <v>0</v>
      </c>
      <c r="EA4" s="18">
        <v>0</v>
      </c>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v>1</v>
      </c>
      <c r="FL4" s="18">
        <v>0</v>
      </c>
      <c r="FM4" s="18">
        <v>0</v>
      </c>
      <c r="FN4" s="18">
        <v>0</v>
      </c>
      <c r="FO4" s="18">
        <v>0</v>
      </c>
      <c r="FP4" s="18">
        <v>0</v>
      </c>
      <c r="FQ4" s="18">
        <v>0</v>
      </c>
      <c r="FR4" s="18">
        <v>0</v>
      </c>
      <c r="FS4" s="18">
        <v>0</v>
      </c>
      <c r="FT4" s="18">
        <v>0</v>
      </c>
      <c r="FU4" s="18">
        <v>0</v>
      </c>
      <c r="FV4" s="18">
        <v>0</v>
      </c>
      <c r="FW4" s="18">
        <v>0</v>
      </c>
      <c r="FX4" s="18">
        <v>0</v>
      </c>
      <c r="FY4" s="18">
        <v>0</v>
      </c>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row>
    <row r="5" spans="1:218" x14ac:dyDescent="0.25">
      <c r="A5" s="22" t="s">
        <v>61</v>
      </c>
      <c r="B5" s="22" t="s">
        <v>61</v>
      </c>
      <c r="C5" s="22" t="s">
        <v>59</v>
      </c>
      <c r="D5" s="22"/>
      <c r="E5" s="22">
        <v>1</v>
      </c>
      <c r="F5" s="22">
        <v>1</v>
      </c>
      <c r="G5" s="22">
        <v>1</v>
      </c>
      <c r="H5" s="22">
        <v>1</v>
      </c>
      <c r="I5" s="22">
        <v>1</v>
      </c>
      <c r="J5" s="22">
        <v>1</v>
      </c>
      <c r="K5" s="17">
        <f>SUM(Table16[[#This Row],[Challenge 1]:[Challenge 50]])</f>
        <v>0</v>
      </c>
      <c r="L5" s="88">
        <f>SUM(Table16[[#This Row],[Club 1]:[Club 50]])</f>
        <v>1</v>
      </c>
      <c r="M5" s="88">
        <f>SUM(Table16[[#This Row],[Intra-school sports 1]:[Intra-school sports 50]])</f>
        <v>0</v>
      </c>
      <c r="N5" s="88">
        <f>SUM(Table16[[#This Row],[Inter School sports 1]:[Inter School sports 50]])</f>
        <v>0</v>
      </c>
      <c r="O5" s="17">
        <f>COUNTIF(Table16[[#This Row],[Community club (type name of club(s). All clubs will count as ''1'']],"*")</f>
        <v>0</v>
      </c>
      <c r="P5" s="17">
        <f>IF(OR(Table16[[#This Row],[Total Challenges]]&gt;0,Table16[[#This Row],[Total Ex-C Clubs]]&gt;0,Table16[[#This Row],[Total Intra-School Sports]]&gt;0,Table16[[#This Row],[Total Inter-School Sports]]&gt;0,Table16[[#This Row],[Community Clubs]]&gt;0),1,0)</f>
        <v>1</v>
      </c>
      <c r="Q5" s="22"/>
      <c r="R5" s="22"/>
      <c r="S5" s="22"/>
      <c r="T5" s="22"/>
      <c r="U5" s="22"/>
      <c r="V5" s="22"/>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v>1</v>
      </c>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row>
    <row r="6" spans="1:218" x14ac:dyDescent="0.25">
      <c r="A6" s="22" t="s">
        <v>61</v>
      </c>
      <c r="B6" s="22" t="s">
        <v>61</v>
      </c>
      <c r="C6" s="22" t="s">
        <v>59</v>
      </c>
      <c r="D6" s="22"/>
      <c r="E6" s="22"/>
      <c r="F6" s="22"/>
      <c r="G6" s="22"/>
      <c r="H6" s="22"/>
      <c r="I6" s="22"/>
      <c r="J6" s="22"/>
      <c r="K6" s="17">
        <f>SUM(Table16[[#This Row],[Challenge 1]:[Challenge 50]])</f>
        <v>0</v>
      </c>
      <c r="L6" s="88">
        <f>SUM(Table16[[#This Row],[Club 1]:[Club 50]])</f>
        <v>0</v>
      </c>
      <c r="M6" s="88">
        <f>SUM(Table16[[#This Row],[Intra-school sports 1]:[Intra-school sports 50]])</f>
        <v>0</v>
      </c>
      <c r="N6" s="88">
        <f>SUM(Table16[[#This Row],[Inter School sports 1]:[Inter School sports 50]])</f>
        <v>0</v>
      </c>
      <c r="O6" s="17">
        <f>COUNTIF(Table16[[#This Row],[Community club (type name of club(s). All clubs will count as ''1'']],"*")</f>
        <v>0</v>
      </c>
      <c r="P6" s="17">
        <f>IF(OR(Table16[[#This Row],[Total Challenges]]&gt;0,Table16[[#This Row],[Total Ex-C Clubs]]&gt;0,Table16[[#This Row],[Total Intra-School Sports]]&gt;0,Table16[[#This Row],[Total Inter-School Sports]]&gt;0,Table16[[#This Row],[Community Clubs]]&gt;0),1,0)</f>
        <v>0</v>
      </c>
      <c r="Q6" s="22"/>
      <c r="R6" s="22"/>
      <c r="S6" s="22"/>
      <c r="T6" s="22"/>
      <c r="U6" s="22"/>
      <c r="V6" s="22"/>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v>0</v>
      </c>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row>
    <row r="7" spans="1:218" x14ac:dyDescent="0.25">
      <c r="A7" s="22" t="s">
        <v>61</v>
      </c>
      <c r="B7" s="22" t="s">
        <v>61</v>
      </c>
      <c r="C7" s="22" t="s">
        <v>59</v>
      </c>
      <c r="D7" s="22"/>
      <c r="E7" s="22"/>
      <c r="F7" s="22"/>
      <c r="G7" s="22"/>
      <c r="H7" s="22"/>
      <c r="I7" s="22"/>
      <c r="J7" s="22"/>
      <c r="K7" s="17">
        <f>SUM(Table16[[#This Row],[Challenge 1]:[Challenge 50]])</f>
        <v>0</v>
      </c>
      <c r="L7" s="88">
        <f>SUM(Table16[[#This Row],[Club 1]:[Club 50]])</f>
        <v>1</v>
      </c>
      <c r="M7" s="88">
        <f>SUM(Table16[[#This Row],[Intra-school sports 1]:[Intra-school sports 50]])</f>
        <v>0</v>
      </c>
      <c r="N7" s="88">
        <f>SUM(Table16[[#This Row],[Inter School sports 1]:[Inter School sports 50]])</f>
        <v>0</v>
      </c>
      <c r="O7" s="17">
        <f>COUNTIF(Table16[[#This Row],[Community club (type name of club(s). All clubs will count as ''1'']],"*")</f>
        <v>0</v>
      </c>
      <c r="P7" s="17">
        <f>IF(OR(Table16[[#This Row],[Total Challenges]]&gt;0,Table16[[#This Row],[Total Ex-C Clubs]]&gt;0,Table16[[#This Row],[Total Intra-School Sports]]&gt;0,Table16[[#This Row],[Total Inter-School Sports]]&gt;0,Table16[[#This Row],[Community Clubs]]&gt;0),1,0)</f>
        <v>1</v>
      </c>
      <c r="Q7" s="22"/>
      <c r="R7" s="22"/>
      <c r="S7" s="22"/>
      <c r="T7" s="22"/>
      <c r="U7" s="22"/>
      <c r="V7" s="22"/>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v>1</v>
      </c>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row>
    <row r="8" spans="1:218" x14ac:dyDescent="0.25">
      <c r="A8" s="22" t="s">
        <v>61</v>
      </c>
      <c r="B8" s="22" t="s">
        <v>61</v>
      </c>
      <c r="C8" s="22" t="s">
        <v>59</v>
      </c>
      <c r="D8" s="22"/>
      <c r="E8" s="22"/>
      <c r="F8" s="22"/>
      <c r="G8" s="22"/>
      <c r="H8" s="22"/>
      <c r="I8" s="22"/>
      <c r="J8" s="22"/>
      <c r="K8" s="17">
        <f>SUM(Table16[[#This Row],[Challenge 1]:[Challenge 50]])</f>
        <v>0</v>
      </c>
      <c r="L8" s="88">
        <f>SUM(Table16[[#This Row],[Club 1]:[Club 50]])</f>
        <v>1</v>
      </c>
      <c r="M8" s="88">
        <f>SUM(Table16[[#This Row],[Intra-school sports 1]:[Intra-school sports 50]])</f>
        <v>0</v>
      </c>
      <c r="N8" s="88">
        <f>SUM(Table16[[#This Row],[Inter School sports 1]:[Inter School sports 50]])</f>
        <v>0</v>
      </c>
      <c r="O8" s="17">
        <f>COUNTIF(Table16[[#This Row],[Community club (type name of club(s). All clubs will count as ''1'']],"*")</f>
        <v>0</v>
      </c>
      <c r="P8" s="17">
        <f>IF(OR(Table16[[#This Row],[Total Challenges]]&gt;0,Table16[[#This Row],[Total Ex-C Clubs]]&gt;0,Table16[[#This Row],[Total Intra-School Sports]]&gt;0,Table16[[#This Row],[Total Inter-School Sports]]&gt;0,Table16[[#This Row],[Community Clubs]]&gt;0),1,0)</f>
        <v>1</v>
      </c>
      <c r="Q8" s="22"/>
      <c r="R8" s="22"/>
      <c r="S8" s="22"/>
      <c r="T8" s="22"/>
      <c r="U8" s="22"/>
      <c r="V8" s="22"/>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v>1</v>
      </c>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21"/>
    </row>
    <row r="9" spans="1:218" x14ac:dyDescent="0.25">
      <c r="A9" s="22"/>
      <c r="B9" s="22"/>
      <c r="C9" s="22"/>
      <c r="D9" s="22"/>
      <c r="E9" s="22"/>
      <c r="F9" s="22"/>
      <c r="G9" s="22"/>
      <c r="H9" s="22"/>
      <c r="I9" s="22"/>
      <c r="J9" s="22"/>
      <c r="K9" s="17">
        <f>SUM(Table16[[#This Row],[Challenge 1]:[Challenge 50]])</f>
        <v>0</v>
      </c>
      <c r="L9" s="88">
        <f>SUM(Table16[[#This Row],[Club 1]:[Club 50]])</f>
        <v>0</v>
      </c>
      <c r="M9" s="88">
        <f>SUM(Table16[[#This Row],[Intra-school sports 1]:[Intra-school sports 50]])</f>
        <v>0</v>
      </c>
      <c r="N9" s="88">
        <f>SUM(Table16[[#This Row],[Inter School sports 1]:[Inter School sports 50]])</f>
        <v>0</v>
      </c>
      <c r="O9" s="17">
        <f>COUNTIF(Table16[[#This Row],[Community club (type name of club(s). All clubs will count as ''1'']],"*")</f>
        <v>0</v>
      </c>
      <c r="P9" s="17">
        <f>IF(OR(Table16[[#This Row],[Total Challenges]]&gt;0,Table16[[#This Row],[Total Ex-C Clubs]]&gt;0,Table16[[#This Row],[Total Intra-School Sports]]&gt;0,Table16[[#This Row],[Total Inter-School Sports]]&gt;0,Table16[[#This Row],[Community Clubs]]&gt;0),1,0)</f>
        <v>0</v>
      </c>
      <c r="Q9" s="22"/>
      <c r="R9" s="22"/>
      <c r="S9" s="22"/>
      <c r="T9" s="22"/>
      <c r="U9" s="22"/>
      <c r="V9" s="22"/>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21"/>
    </row>
    <row r="10" spans="1:218" x14ac:dyDescent="0.25">
      <c r="A10" s="22"/>
      <c r="B10" s="22"/>
      <c r="C10" s="22"/>
      <c r="D10" s="22"/>
      <c r="E10" s="22"/>
      <c r="F10" s="22"/>
      <c r="G10" s="22"/>
      <c r="H10" s="22"/>
      <c r="I10" s="22"/>
      <c r="J10" s="22"/>
      <c r="K10" s="17">
        <f>SUM(Table16[[#This Row],[Challenge 1]:[Challenge 50]])</f>
        <v>0</v>
      </c>
      <c r="L10" s="88">
        <f>SUM(Table16[[#This Row],[Club 1]:[Club 50]])</f>
        <v>0</v>
      </c>
      <c r="M10" s="88">
        <f>SUM(Table16[[#This Row],[Intra-school sports 1]:[Intra-school sports 50]])</f>
        <v>0</v>
      </c>
      <c r="N10" s="88">
        <f>SUM(Table16[[#This Row],[Inter School sports 1]:[Inter School sports 50]])</f>
        <v>0</v>
      </c>
      <c r="O10" s="17">
        <f>COUNTIF(Table16[[#This Row],[Community club (type name of club(s). All clubs will count as ''1'']],"*")</f>
        <v>0</v>
      </c>
      <c r="P10" s="17">
        <f>IF(OR(Table16[[#This Row],[Total Challenges]]&gt;0,Table16[[#This Row],[Total Ex-C Clubs]]&gt;0,Table16[[#This Row],[Total Intra-School Sports]]&gt;0,Table16[[#This Row],[Total Inter-School Sports]]&gt;0,Table16[[#This Row],[Community Clubs]]&gt;0),1,0)</f>
        <v>0</v>
      </c>
      <c r="Q10" s="22"/>
      <c r="R10" s="22"/>
      <c r="S10" s="22"/>
      <c r="T10" s="22"/>
      <c r="U10" s="22"/>
      <c r="V10" s="22"/>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21"/>
    </row>
    <row r="11" spans="1:218" x14ac:dyDescent="0.25">
      <c r="A11" s="22"/>
      <c r="B11" s="22"/>
      <c r="C11" s="22"/>
      <c r="D11" s="22"/>
      <c r="E11" s="22"/>
      <c r="F11" s="22"/>
      <c r="G11" s="22"/>
      <c r="H11" s="22"/>
      <c r="I11" s="22"/>
      <c r="J11" s="22"/>
      <c r="K11" s="17">
        <f>SUM(Table16[[#This Row],[Challenge 1]:[Challenge 50]])</f>
        <v>0</v>
      </c>
      <c r="L11" s="88">
        <f>SUM(Table16[[#This Row],[Club 1]:[Club 50]])</f>
        <v>0</v>
      </c>
      <c r="M11" s="88">
        <f>SUM(Table16[[#This Row],[Intra-school sports 1]:[Intra-school sports 50]])</f>
        <v>0</v>
      </c>
      <c r="N11" s="88">
        <f>SUM(Table16[[#This Row],[Inter School sports 1]:[Inter School sports 50]])</f>
        <v>0</v>
      </c>
      <c r="O11" s="17">
        <f>COUNTIF(Table16[[#This Row],[Community club (type name of club(s). All clubs will count as ''1'']],"*")</f>
        <v>0</v>
      </c>
      <c r="P11" s="17">
        <f>IF(OR(Table16[[#This Row],[Total Challenges]]&gt;0,Table16[[#This Row],[Total Ex-C Clubs]]&gt;0,Table16[[#This Row],[Total Intra-School Sports]]&gt;0,Table16[[#This Row],[Total Inter-School Sports]]&gt;0,Table16[[#This Row],[Community Clubs]]&gt;0),1,0)</f>
        <v>0</v>
      </c>
      <c r="Q11" s="22"/>
      <c r="R11" s="22"/>
      <c r="S11" s="22"/>
      <c r="T11" s="22"/>
      <c r="U11" s="22"/>
      <c r="V11" s="22"/>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21"/>
    </row>
    <row r="12" spans="1:218" x14ac:dyDescent="0.25">
      <c r="A12" s="22"/>
      <c r="B12" s="22"/>
      <c r="C12" s="22"/>
      <c r="D12" s="22"/>
      <c r="E12" s="22"/>
      <c r="F12" s="22"/>
      <c r="G12" s="22"/>
      <c r="H12" s="22"/>
      <c r="I12" s="22"/>
      <c r="J12" s="22"/>
      <c r="K12" s="17">
        <f>SUM(Table16[[#This Row],[Challenge 1]:[Challenge 50]])</f>
        <v>0</v>
      </c>
      <c r="L12" s="88">
        <f>SUM(Table16[[#This Row],[Club 1]:[Club 50]])</f>
        <v>0</v>
      </c>
      <c r="M12" s="88">
        <f>SUM(Table16[[#This Row],[Intra-school sports 1]:[Intra-school sports 50]])</f>
        <v>0</v>
      </c>
      <c r="N12" s="88">
        <f>SUM(Table16[[#This Row],[Inter School sports 1]:[Inter School sports 50]])</f>
        <v>0</v>
      </c>
      <c r="O12" s="17">
        <f>COUNTIF(Table16[[#This Row],[Community club (type name of club(s). All clubs will count as ''1'']],"*")</f>
        <v>0</v>
      </c>
      <c r="P12" s="17">
        <f>IF(OR(Table16[[#This Row],[Total Challenges]]&gt;0,Table16[[#This Row],[Total Ex-C Clubs]]&gt;0,Table16[[#This Row],[Total Intra-School Sports]]&gt;0,Table16[[#This Row],[Total Inter-School Sports]]&gt;0,Table16[[#This Row],[Community Clubs]]&gt;0),1,0)</f>
        <v>0</v>
      </c>
      <c r="Q12" s="22"/>
      <c r="R12" s="22"/>
      <c r="S12" s="22"/>
      <c r="T12" s="22"/>
      <c r="U12" s="22"/>
      <c r="V12" s="22"/>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21"/>
    </row>
    <row r="13" spans="1:218" x14ac:dyDescent="0.25">
      <c r="A13" s="22"/>
      <c r="B13" s="22"/>
      <c r="C13" s="22"/>
      <c r="D13" s="22"/>
      <c r="E13" s="22"/>
      <c r="F13" s="22"/>
      <c r="G13" s="22"/>
      <c r="H13" s="22"/>
      <c r="I13" s="22"/>
      <c r="J13" s="22"/>
      <c r="K13" s="17">
        <f>SUM(Table16[[#This Row],[Challenge 1]:[Challenge 50]])</f>
        <v>0</v>
      </c>
      <c r="L13" s="88">
        <f>SUM(Table16[[#This Row],[Club 1]:[Club 50]])</f>
        <v>0</v>
      </c>
      <c r="M13" s="88">
        <f>SUM(Table16[[#This Row],[Intra-school sports 1]:[Intra-school sports 50]])</f>
        <v>0</v>
      </c>
      <c r="N13" s="88">
        <f>SUM(Table16[[#This Row],[Inter School sports 1]:[Inter School sports 50]])</f>
        <v>0</v>
      </c>
      <c r="O13" s="17">
        <f>COUNTIF(Table16[[#This Row],[Community club (type name of club(s). All clubs will count as ''1'']],"*")</f>
        <v>0</v>
      </c>
      <c r="P13" s="17">
        <f>IF(OR(Table16[[#This Row],[Total Challenges]]&gt;0,Table16[[#This Row],[Total Ex-C Clubs]]&gt;0,Table16[[#This Row],[Total Intra-School Sports]]&gt;0,Table16[[#This Row],[Total Inter-School Sports]]&gt;0,Table16[[#This Row],[Community Clubs]]&gt;0),1,0)</f>
        <v>0</v>
      </c>
      <c r="Q13" s="22"/>
      <c r="R13" s="22"/>
      <c r="S13" s="22"/>
      <c r="T13" s="22"/>
      <c r="U13" s="22"/>
      <c r="V13" s="22"/>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21"/>
    </row>
    <row r="14" spans="1:218" x14ac:dyDescent="0.25">
      <c r="A14" s="22"/>
      <c r="B14" s="22"/>
      <c r="C14" s="22"/>
      <c r="D14" s="22"/>
      <c r="E14" s="22"/>
      <c r="F14" s="22"/>
      <c r="G14" s="22"/>
      <c r="H14" s="22"/>
      <c r="I14" s="22"/>
      <c r="J14" s="22"/>
      <c r="K14" s="17">
        <f>SUM(Table16[[#This Row],[Challenge 1]:[Challenge 50]])</f>
        <v>0</v>
      </c>
      <c r="L14" s="88">
        <f>SUM(Table16[[#This Row],[Club 1]:[Club 50]])</f>
        <v>0</v>
      </c>
      <c r="M14" s="88">
        <f>SUM(Table16[[#This Row],[Intra-school sports 1]:[Intra-school sports 50]])</f>
        <v>0</v>
      </c>
      <c r="N14" s="88">
        <f>SUM(Table16[[#This Row],[Inter School sports 1]:[Inter School sports 50]])</f>
        <v>0</v>
      </c>
      <c r="O14" s="17">
        <f>COUNTIF(Table16[[#This Row],[Community club (type name of club(s). All clubs will count as ''1'']],"*")</f>
        <v>0</v>
      </c>
      <c r="P14" s="17">
        <f>IF(OR(Table16[[#This Row],[Total Challenges]]&gt;0,Table16[[#This Row],[Total Ex-C Clubs]]&gt;0,Table16[[#This Row],[Total Intra-School Sports]]&gt;0,Table16[[#This Row],[Total Inter-School Sports]]&gt;0,Table16[[#This Row],[Community Clubs]]&gt;0),1,0)</f>
        <v>0</v>
      </c>
      <c r="Q14" s="22"/>
      <c r="R14" s="22"/>
      <c r="S14" s="22"/>
      <c r="T14" s="22"/>
      <c r="U14" s="22"/>
      <c r="V14" s="22"/>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21"/>
    </row>
    <row r="15" spans="1:218" x14ac:dyDescent="0.25">
      <c r="A15" s="22"/>
      <c r="B15" s="22"/>
      <c r="C15" s="22"/>
      <c r="D15" s="22"/>
      <c r="E15" s="22"/>
      <c r="F15" s="22"/>
      <c r="G15" s="22"/>
      <c r="H15" s="22"/>
      <c r="I15" s="22"/>
      <c r="J15" s="22"/>
      <c r="K15" s="17">
        <f>SUM(Table16[[#This Row],[Challenge 1]:[Challenge 50]])</f>
        <v>0</v>
      </c>
      <c r="L15" s="88">
        <f>SUM(Table16[[#This Row],[Club 1]:[Club 50]])</f>
        <v>0</v>
      </c>
      <c r="M15" s="88">
        <f>SUM(Table16[[#This Row],[Intra-school sports 1]:[Intra-school sports 50]])</f>
        <v>0</v>
      </c>
      <c r="N15" s="88">
        <f>SUM(Table16[[#This Row],[Inter School sports 1]:[Inter School sports 50]])</f>
        <v>0</v>
      </c>
      <c r="O15" s="17">
        <f>COUNTIF(Table16[[#This Row],[Community club (type name of club(s). All clubs will count as ''1'']],"*")</f>
        <v>0</v>
      </c>
      <c r="P15" s="17">
        <f>IF(OR(Table16[[#This Row],[Total Challenges]]&gt;0,Table16[[#This Row],[Total Ex-C Clubs]]&gt;0,Table16[[#This Row],[Total Intra-School Sports]]&gt;0,Table16[[#This Row],[Total Inter-School Sports]]&gt;0,Table16[[#This Row],[Community Clubs]]&gt;0),1,0)</f>
        <v>0</v>
      </c>
      <c r="Q15" s="22"/>
      <c r="R15" s="22"/>
      <c r="S15" s="22"/>
      <c r="T15" s="22"/>
      <c r="U15" s="22"/>
      <c r="V15" s="22"/>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21"/>
    </row>
    <row r="16" spans="1:218" x14ac:dyDescent="0.25">
      <c r="A16" s="22"/>
      <c r="B16" s="22"/>
      <c r="C16" s="22"/>
      <c r="D16" s="22"/>
      <c r="E16" s="22"/>
      <c r="F16" s="22"/>
      <c r="G16" s="22"/>
      <c r="H16" s="22"/>
      <c r="I16" s="22"/>
      <c r="J16" s="22"/>
      <c r="K16" s="17">
        <f>SUM(Table16[[#This Row],[Challenge 1]:[Challenge 50]])</f>
        <v>0</v>
      </c>
      <c r="L16" s="88">
        <f>SUM(Table16[[#This Row],[Club 1]:[Club 50]])</f>
        <v>0</v>
      </c>
      <c r="M16" s="88">
        <f>SUM(Table16[[#This Row],[Intra-school sports 1]:[Intra-school sports 50]])</f>
        <v>0</v>
      </c>
      <c r="N16" s="88">
        <f>SUM(Table16[[#This Row],[Inter School sports 1]:[Inter School sports 50]])</f>
        <v>0</v>
      </c>
      <c r="O16" s="17">
        <f>COUNTIF(Table16[[#This Row],[Community club (type name of club(s). All clubs will count as ''1'']],"*")</f>
        <v>0</v>
      </c>
      <c r="P16" s="17">
        <f>IF(OR(Table16[[#This Row],[Total Challenges]]&gt;0,Table16[[#This Row],[Total Ex-C Clubs]]&gt;0,Table16[[#This Row],[Total Intra-School Sports]]&gt;0,Table16[[#This Row],[Total Inter-School Sports]]&gt;0,Table16[[#This Row],[Community Clubs]]&gt;0),1,0)</f>
        <v>0</v>
      </c>
      <c r="Q16" s="22"/>
      <c r="R16" s="22"/>
      <c r="S16" s="22"/>
      <c r="T16" s="22"/>
      <c r="U16" s="22"/>
      <c r="V16" s="22"/>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21"/>
    </row>
    <row r="17" spans="1:218" x14ac:dyDescent="0.25">
      <c r="A17" s="22"/>
      <c r="B17" s="22"/>
      <c r="C17" s="22"/>
      <c r="D17" s="22"/>
      <c r="E17" s="22"/>
      <c r="F17" s="22"/>
      <c r="G17" s="22"/>
      <c r="H17" s="22"/>
      <c r="I17" s="22"/>
      <c r="J17" s="22"/>
      <c r="K17" s="17">
        <f>SUM(Table16[[#This Row],[Challenge 1]:[Challenge 50]])</f>
        <v>0</v>
      </c>
      <c r="L17" s="88">
        <f>SUM(Table16[[#This Row],[Club 1]:[Club 50]])</f>
        <v>0</v>
      </c>
      <c r="M17" s="88">
        <f>SUM(Table16[[#This Row],[Intra-school sports 1]:[Intra-school sports 50]])</f>
        <v>0</v>
      </c>
      <c r="N17" s="88">
        <f>SUM(Table16[[#This Row],[Inter School sports 1]:[Inter School sports 50]])</f>
        <v>0</v>
      </c>
      <c r="O17" s="17">
        <f>COUNTIF(Table16[[#This Row],[Community club (type name of club(s). All clubs will count as ''1'']],"*")</f>
        <v>0</v>
      </c>
      <c r="P17" s="17">
        <f>IF(OR(Table16[[#This Row],[Total Challenges]]&gt;0,Table16[[#This Row],[Total Ex-C Clubs]]&gt;0,Table16[[#This Row],[Total Intra-School Sports]]&gt;0,Table16[[#This Row],[Total Inter-School Sports]]&gt;0,Table16[[#This Row],[Community Clubs]]&gt;0),1,0)</f>
        <v>0</v>
      </c>
      <c r="Q17" s="22"/>
      <c r="R17" s="22"/>
      <c r="S17" s="22"/>
      <c r="T17" s="22"/>
      <c r="U17" s="22"/>
      <c r="V17" s="22"/>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21"/>
    </row>
    <row r="18" spans="1:218" x14ac:dyDescent="0.25">
      <c r="A18" s="22"/>
      <c r="B18" s="22"/>
      <c r="C18" s="22"/>
      <c r="D18" s="22"/>
      <c r="E18" s="22"/>
      <c r="F18" s="22"/>
      <c r="G18" s="22"/>
      <c r="H18" s="22"/>
      <c r="I18" s="22"/>
      <c r="J18" s="22"/>
      <c r="K18" s="17">
        <f>SUM(Table16[[#This Row],[Challenge 1]:[Challenge 50]])</f>
        <v>0</v>
      </c>
      <c r="L18" s="88">
        <f>SUM(Table16[[#This Row],[Club 1]:[Club 50]])</f>
        <v>0</v>
      </c>
      <c r="M18" s="88">
        <f>SUM(Table16[[#This Row],[Intra-school sports 1]:[Intra-school sports 50]])</f>
        <v>0</v>
      </c>
      <c r="N18" s="88">
        <f>SUM(Table16[[#This Row],[Inter School sports 1]:[Inter School sports 50]])</f>
        <v>0</v>
      </c>
      <c r="O18" s="17">
        <f>COUNTIF(Table16[[#This Row],[Community club (type name of club(s). All clubs will count as ''1'']],"*")</f>
        <v>0</v>
      </c>
      <c r="P18" s="17">
        <f>IF(OR(Table16[[#This Row],[Total Challenges]]&gt;0,Table16[[#This Row],[Total Ex-C Clubs]]&gt;0,Table16[[#This Row],[Total Intra-School Sports]]&gt;0,Table16[[#This Row],[Total Inter-School Sports]]&gt;0,Table16[[#This Row],[Community Clubs]]&gt;0),1,0)</f>
        <v>0</v>
      </c>
      <c r="Q18" s="22"/>
      <c r="R18" s="22"/>
      <c r="S18" s="22"/>
      <c r="T18" s="22"/>
      <c r="U18" s="22"/>
      <c r="V18" s="22"/>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21"/>
    </row>
    <row r="19" spans="1:218" x14ac:dyDescent="0.25">
      <c r="A19" s="22"/>
      <c r="B19" s="22"/>
      <c r="C19" s="22"/>
      <c r="D19" s="22"/>
      <c r="E19" s="22"/>
      <c r="F19" s="22"/>
      <c r="G19" s="22"/>
      <c r="H19" s="22"/>
      <c r="I19" s="22"/>
      <c r="J19" s="22"/>
      <c r="K19" s="17">
        <f>SUM(Table16[[#This Row],[Challenge 1]:[Challenge 50]])</f>
        <v>0</v>
      </c>
      <c r="L19" s="88">
        <f>SUM(Table16[[#This Row],[Club 1]:[Club 50]])</f>
        <v>0</v>
      </c>
      <c r="M19" s="88">
        <f>SUM(Table16[[#This Row],[Intra-school sports 1]:[Intra-school sports 50]])</f>
        <v>0</v>
      </c>
      <c r="N19" s="88">
        <f>SUM(Table16[[#This Row],[Inter School sports 1]:[Inter School sports 50]])</f>
        <v>0</v>
      </c>
      <c r="O19" s="17">
        <f>COUNTIF(Table16[[#This Row],[Community club (type name of club(s). All clubs will count as ''1'']],"*")</f>
        <v>0</v>
      </c>
      <c r="P19" s="17">
        <f>IF(OR(Table16[[#This Row],[Total Challenges]]&gt;0,Table16[[#This Row],[Total Ex-C Clubs]]&gt;0,Table16[[#This Row],[Total Intra-School Sports]]&gt;0,Table16[[#This Row],[Total Inter-School Sports]]&gt;0,Table16[[#This Row],[Community Clubs]]&gt;0),1,0)</f>
        <v>0</v>
      </c>
      <c r="Q19" s="22"/>
      <c r="R19" s="22"/>
      <c r="S19" s="22"/>
      <c r="T19" s="22"/>
      <c r="U19" s="22"/>
      <c r="V19" s="22"/>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21"/>
    </row>
    <row r="20" spans="1:218" x14ac:dyDescent="0.25">
      <c r="A20" s="22"/>
      <c r="B20" s="22"/>
      <c r="C20" s="22"/>
      <c r="D20" s="22"/>
      <c r="E20" s="22"/>
      <c r="F20" s="22"/>
      <c r="G20" s="22"/>
      <c r="H20" s="22"/>
      <c r="I20" s="22"/>
      <c r="J20" s="22"/>
      <c r="K20" s="17">
        <f>SUM(Table16[[#This Row],[Challenge 1]:[Challenge 50]])</f>
        <v>0</v>
      </c>
      <c r="L20" s="88">
        <f>SUM(Table16[[#This Row],[Club 1]:[Club 50]])</f>
        <v>0</v>
      </c>
      <c r="M20" s="88">
        <f>SUM(Table16[[#This Row],[Intra-school sports 1]:[Intra-school sports 50]])</f>
        <v>0</v>
      </c>
      <c r="N20" s="88">
        <f>SUM(Table16[[#This Row],[Inter School sports 1]:[Inter School sports 50]])</f>
        <v>0</v>
      </c>
      <c r="O20" s="17">
        <f>COUNTIF(Table16[[#This Row],[Community club (type name of club(s). All clubs will count as ''1'']],"*")</f>
        <v>0</v>
      </c>
      <c r="P20" s="17">
        <f>IF(OR(Table16[[#This Row],[Total Challenges]]&gt;0,Table16[[#This Row],[Total Ex-C Clubs]]&gt;0,Table16[[#This Row],[Total Intra-School Sports]]&gt;0,Table16[[#This Row],[Total Inter-School Sports]]&gt;0,Table16[[#This Row],[Community Clubs]]&gt;0),1,0)</f>
        <v>0</v>
      </c>
      <c r="Q20" s="22"/>
      <c r="R20" s="22"/>
      <c r="S20" s="22"/>
      <c r="T20" s="22"/>
      <c r="U20" s="22"/>
      <c r="V20" s="22"/>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21"/>
    </row>
    <row r="21" spans="1:218" x14ac:dyDescent="0.25">
      <c r="A21" s="22"/>
      <c r="B21" s="22"/>
      <c r="C21" s="22"/>
      <c r="D21" s="22"/>
      <c r="E21" s="22"/>
      <c r="F21" s="22"/>
      <c r="G21" s="22"/>
      <c r="H21" s="22"/>
      <c r="I21" s="22"/>
      <c r="J21" s="22"/>
      <c r="K21" s="17">
        <f>SUM(Table16[[#This Row],[Challenge 1]:[Challenge 50]])</f>
        <v>0</v>
      </c>
      <c r="L21" s="88">
        <f>SUM(Table16[[#This Row],[Club 1]:[Club 50]])</f>
        <v>0</v>
      </c>
      <c r="M21" s="88">
        <f>SUM(Table16[[#This Row],[Intra-school sports 1]:[Intra-school sports 50]])</f>
        <v>0</v>
      </c>
      <c r="N21" s="88">
        <f>SUM(Table16[[#This Row],[Inter School sports 1]:[Inter School sports 50]])</f>
        <v>0</v>
      </c>
      <c r="O21" s="17">
        <f>COUNTIF(Table16[[#This Row],[Community club (type name of club(s). All clubs will count as ''1'']],"*")</f>
        <v>0</v>
      </c>
      <c r="P21" s="17">
        <f>IF(OR(Table16[[#This Row],[Total Challenges]]&gt;0,Table16[[#This Row],[Total Ex-C Clubs]]&gt;0,Table16[[#This Row],[Total Intra-School Sports]]&gt;0,Table16[[#This Row],[Total Inter-School Sports]]&gt;0,Table16[[#This Row],[Community Clubs]]&gt;0),1,0)</f>
        <v>0</v>
      </c>
      <c r="Q21" s="22"/>
      <c r="R21" s="22"/>
      <c r="S21" s="22"/>
      <c r="T21" s="22"/>
      <c r="U21" s="22"/>
      <c r="V21" s="22"/>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21"/>
    </row>
    <row r="22" spans="1:218" x14ac:dyDescent="0.25">
      <c r="A22" s="22"/>
      <c r="B22" s="22"/>
      <c r="C22" s="22"/>
      <c r="D22" s="22"/>
      <c r="E22" s="22"/>
      <c r="F22" s="22"/>
      <c r="G22" s="22"/>
      <c r="H22" s="22"/>
      <c r="I22" s="22"/>
      <c r="J22" s="22"/>
      <c r="K22" s="17">
        <f>SUM(Table16[[#This Row],[Challenge 1]:[Challenge 50]])</f>
        <v>0</v>
      </c>
      <c r="L22" s="88">
        <f>SUM(Table16[[#This Row],[Club 1]:[Club 50]])</f>
        <v>0</v>
      </c>
      <c r="M22" s="88">
        <f>SUM(Table16[[#This Row],[Intra-school sports 1]:[Intra-school sports 50]])</f>
        <v>0</v>
      </c>
      <c r="N22" s="88">
        <f>SUM(Table16[[#This Row],[Inter School sports 1]:[Inter School sports 50]])</f>
        <v>0</v>
      </c>
      <c r="O22" s="17">
        <f>COUNTIF(Table16[[#This Row],[Community club (type name of club(s). All clubs will count as ''1'']],"*")</f>
        <v>0</v>
      </c>
      <c r="P22" s="17">
        <f>IF(OR(Table16[[#This Row],[Total Challenges]]&gt;0,Table16[[#This Row],[Total Ex-C Clubs]]&gt;0,Table16[[#This Row],[Total Intra-School Sports]]&gt;0,Table16[[#This Row],[Total Inter-School Sports]]&gt;0,Table16[[#This Row],[Community Clubs]]&gt;0),1,0)</f>
        <v>0</v>
      </c>
      <c r="Q22" s="22"/>
      <c r="R22" s="22"/>
      <c r="S22" s="22"/>
      <c r="T22" s="22"/>
      <c r="U22" s="22"/>
      <c r="V22" s="22"/>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21"/>
    </row>
    <row r="23" spans="1:218" x14ac:dyDescent="0.25">
      <c r="A23" s="22"/>
      <c r="B23" s="22"/>
      <c r="C23" s="22"/>
      <c r="D23" s="22"/>
      <c r="E23" s="22"/>
      <c r="F23" s="22"/>
      <c r="G23" s="22"/>
      <c r="H23" s="22"/>
      <c r="I23" s="22"/>
      <c r="J23" s="22"/>
      <c r="K23" s="17">
        <f>SUM(Table16[[#This Row],[Challenge 1]:[Challenge 50]])</f>
        <v>0</v>
      </c>
      <c r="L23" s="88">
        <f>SUM(Table16[[#This Row],[Club 1]:[Club 50]])</f>
        <v>0</v>
      </c>
      <c r="M23" s="88">
        <f>SUM(Table16[[#This Row],[Intra-school sports 1]:[Intra-school sports 50]])</f>
        <v>0</v>
      </c>
      <c r="N23" s="88">
        <f>SUM(Table16[[#This Row],[Inter School sports 1]:[Inter School sports 50]])</f>
        <v>0</v>
      </c>
      <c r="O23" s="17">
        <f>COUNTIF(Table16[[#This Row],[Community club (type name of club(s). All clubs will count as ''1'']],"*")</f>
        <v>0</v>
      </c>
      <c r="P23" s="17">
        <f>IF(OR(Table16[[#This Row],[Total Challenges]]&gt;0,Table16[[#This Row],[Total Ex-C Clubs]]&gt;0,Table16[[#This Row],[Total Intra-School Sports]]&gt;0,Table16[[#This Row],[Total Inter-School Sports]]&gt;0,Table16[[#This Row],[Community Clubs]]&gt;0),1,0)</f>
        <v>0</v>
      </c>
      <c r="Q23" s="22"/>
      <c r="R23" s="22"/>
      <c r="S23" s="22"/>
      <c r="T23" s="22"/>
      <c r="U23" s="22"/>
      <c r="V23" s="22"/>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21"/>
    </row>
    <row r="24" spans="1:218" x14ac:dyDescent="0.25">
      <c r="A24" s="22"/>
      <c r="B24" s="22"/>
      <c r="C24" s="22"/>
      <c r="D24" s="22"/>
      <c r="E24" s="22"/>
      <c r="F24" s="22"/>
      <c r="G24" s="22"/>
      <c r="H24" s="22"/>
      <c r="I24" s="22"/>
      <c r="J24" s="22"/>
      <c r="K24" s="17">
        <f>SUM(Table16[[#This Row],[Challenge 1]:[Challenge 50]])</f>
        <v>0</v>
      </c>
      <c r="L24" s="88">
        <f>SUM(Table16[[#This Row],[Club 1]:[Club 50]])</f>
        <v>0</v>
      </c>
      <c r="M24" s="88">
        <f>SUM(Table16[[#This Row],[Intra-school sports 1]:[Intra-school sports 50]])</f>
        <v>0</v>
      </c>
      <c r="N24" s="88">
        <f>SUM(Table16[[#This Row],[Inter School sports 1]:[Inter School sports 50]])</f>
        <v>0</v>
      </c>
      <c r="O24" s="17">
        <f>COUNTIF(Table16[[#This Row],[Community club (type name of club(s). All clubs will count as ''1'']],"*")</f>
        <v>0</v>
      </c>
      <c r="P24" s="17">
        <f>IF(OR(Table16[[#This Row],[Total Challenges]]&gt;0,Table16[[#This Row],[Total Ex-C Clubs]]&gt;0,Table16[[#This Row],[Total Intra-School Sports]]&gt;0,Table16[[#This Row],[Total Inter-School Sports]]&gt;0,Table16[[#This Row],[Community Clubs]]&gt;0),1,0)</f>
        <v>0</v>
      </c>
      <c r="Q24" s="22"/>
      <c r="R24" s="22"/>
      <c r="S24" s="22"/>
      <c r="T24" s="22"/>
      <c r="U24" s="22"/>
      <c r="V24" s="22"/>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21"/>
    </row>
    <row r="25" spans="1:218" x14ac:dyDescent="0.25">
      <c r="A25" s="22"/>
      <c r="B25" s="22"/>
      <c r="C25" s="22"/>
      <c r="D25" s="22"/>
      <c r="E25" s="22"/>
      <c r="F25" s="22"/>
      <c r="G25" s="22"/>
      <c r="H25" s="22"/>
      <c r="I25" s="22"/>
      <c r="J25" s="22"/>
      <c r="K25" s="17">
        <f>SUM(Table16[[#This Row],[Challenge 1]:[Challenge 50]])</f>
        <v>0</v>
      </c>
      <c r="L25" s="88">
        <f>SUM(Table16[[#This Row],[Club 1]:[Club 50]])</f>
        <v>0</v>
      </c>
      <c r="M25" s="88">
        <f>SUM(Table16[[#This Row],[Intra-school sports 1]:[Intra-school sports 50]])</f>
        <v>0</v>
      </c>
      <c r="N25" s="88">
        <f>SUM(Table16[[#This Row],[Inter School sports 1]:[Inter School sports 50]])</f>
        <v>0</v>
      </c>
      <c r="O25" s="17">
        <f>COUNTIF(Table16[[#This Row],[Community club (type name of club(s). All clubs will count as ''1'']],"*")</f>
        <v>0</v>
      </c>
      <c r="P25" s="17">
        <f>IF(OR(Table16[[#This Row],[Total Challenges]]&gt;0,Table16[[#This Row],[Total Ex-C Clubs]]&gt;0,Table16[[#This Row],[Total Intra-School Sports]]&gt;0,Table16[[#This Row],[Total Inter-School Sports]]&gt;0,Table16[[#This Row],[Community Clubs]]&gt;0),1,0)</f>
        <v>0</v>
      </c>
      <c r="Q25" s="22"/>
      <c r="R25" s="22"/>
      <c r="S25" s="22"/>
      <c r="T25" s="22"/>
      <c r="U25" s="22"/>
      <c r="V25" s="22"/>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21"/>
    </row>
    <row r="26" spans="1:218" x14ac:dyDescent="0.25">
      <c r="A26" s="22"/>
      <c r="B26" s="22"/>
      <c r="C26" s="22"/>
      <c r="D26" s="22"/>
      <c r="E26" s="22"/>
      <c r="F26" s="22"/>
      <c r="G26" s="22"/>
      <c r="H26" s="22"/>
      <c r="I26" s="22"/>
      <c r="J26" s="22"/>
      <c r="K26" s="17">
        <f>SUM(Table16[[#This Row],[Challenge 1]:[Challenge 50]])</f>
        <v>0</v>
      </c>
      <c r="L26" s="88">
        <f>SUM(Table16[[#This Row],[Club 1]:[Club 50]])</f>
        <v>0</v>
      </c>
      <c r="M26" s="88">
        <f>SUM(Table16[[#This Row],[Intra-school sports 1]:[Intra-school sports 50]])</f>
        <v>0</v>
      </c>
      <c r="N26" s="88">
        <f>SUM(Table16[[#This Row],[Inter School sports 1]:[Inter School sports 50]])</f>
        <v>0</v>
      </c>
      <c r="O26" s="17">
        <f>COUNTIF(Table16[[#This Row],[Community club (type name of club(s). All clubs will count as ''1'']],"*")</f>
        <v>0</v>
      </c>
      <c r="P26" s="17">
        <f>IF(OR(Table16[[#This Row],[Total Challenges]]&gt;0,Table16[[#This Row],[Total Ex-C Clubs]]&gt;0,Table16[[#This Row],[Total Intra-School Sports]]&gt;0,Table16[[#This Row],[Total Inter-School Sports]]&gt;0,Table16[[#This Row],[Community Clubs]]&gt;0),1,0)</f>
        <v>0</v>
      </c>
      <c r="Q26" s="22"/>
      <c r="R26" s="22"/>
      <c r="S26" s="22"/>
      <c r="T26" s="22"/>
      <c r="U26" s="22"/>
      <c r="V26" s="22"/>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21"/>
    </row>
    <row r="27" spans="1:218" x14ac:dyDescent="0.25">
      <c r="A27" s="22"/>
      <c r="B27" s="22"/>
      <c r="C27" s="22"/>
      <c r="D27" s="22"/>
      <c r="E27" s="22"/>
      <c r="F27" s="22"/>
      <c r="G27" s="22"/>
      <c r="H27" s="22"/>
      <c r="I27" s="22"/>
      <c r="J27" s="22"/>
      <c r="K27" s="17">
        <f>SUM(Table16[[#This Row],[Challenge 1]:[Challenge 50]])</f>
        <v>0</v>
      </c>
      <c r="L27" s="88">
        <f>SUM(Table16[[#This Row],[Club 1]:[Club 50]])</f>
        <v>0</v>
      </c>
      <c r="M27" s="88">
        <f>SUM(Table16[[#This Row],[Intra-school sports 1]:[Intra-school sports 50]])</f>
        <v>0</v>
      </c>
      <c r="N27" s="88">
        <f>SUM(Table16[[#This Row],[Inter School sports 1]:[Inter School sports 50]])</f>
        <v>0</v>
      </c>
      <c r="O27" s="17">
        <f>COUNTIF(Table16[[#This Row],[Community club (type name of club(s). All clubs will count as ''1'']],"*")</f>
        <v>0</v>
      </c>
      <c r="P27" s="17">
        <f>IF(OR(Table16[[#This Row],[Total Challenges]]&gt;0,Table16[[#This Row],[Total Ex-C Clubs]]&gt;0,Table16[[#This Row],[Total Intra-School Sports]]&gt;0,Table16[[#This Row],[Total Inter-School Sports]]&gt;0,Table16[[#This Row],[Community Clubs]]&gt;0),1,0)</f>
        <v>0</v>
      </c>
      <c r="Q27" s="22"/>
      <c r="R27" s="22"/>
      <c r="S27" s="22"/>
      <c r="T27" s="22"/>
      <c r="U27" s="22"/>
      <c r="V27" s="22"/>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21"/>
    </row>
    <row r="28" spans="1:218" x14ac:dyDescent="0.25">
      <c r="A28" s="22"/>
      <c r="B28" s="22"/>
      <c r="C28" s="22"/>
      <c r="D28" s="22"/>
      <c r="E28" s="22"/>
      <c r="F28" s="22"/>
      <c r="G28" s="22"/>
      <c r="H28" s="22"/>
      <c r="I28" s="22"/>
      <c r="J28" s="22"/>
      <c r="K28" s="17">
        <f>SUM(Table16[[#This Row],[Challenge 1]:[Challenge 50]])</f>
        <v>0</v>
      </c>
      <c r="L28" s="88">
        <f>SUM(Table16[[#This Row],[Club 1]:[Club 50]])</f>
        <v>0</v>
      </c>
      <c r="M28" s="88">
        <f>SUM(Table16[[#This Row],[Intra-school sports 1]:[Intra-school sports 50]])</f>
        <v>0</v>
      </c>
      <c r="N28" s="88">
        <f>SUM(Table16[[#This Row],[Inter School sports 1]:[Inter School sports 50]])</f>
        <v>0</v>
      </c>
      <c r="O28" s="17">
        <f>COUNTIF(Table16[[#This Row],[Community club (type name of club(s). All clubs will count as ''1'']],"*")</f>
        <v>0</v>
      </c>
      <c r="P28" s="17">
        <f>IF(OR(Table16[[#This Row],[Total Challenges]]&gt;0,Table16[[#This Row],[Total Ex-C Clubs]]&gt;0,Table16[[#This Row],[Total Intra-School Sports]]&gt;0,Table16[[#This Row],[Total Inter-School Sports]]&gt;0,Table16[[#This Row],[Community Clubs]]&gt;0),1,0)</f>
        <v>0</v>
      </c>
      <c r="Q28" s="22"/>
      <c r="R28" s="22"/>
      <c r="S28" s="22"/>
      <c r="T28" s="22"/>
      <c r="U28" s="22"/>
      <c r="V28" s="22"/>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21"/>
    </row>
    <row r="29" spans="1:218" x14ac:dyDescent="0.25">
      <c r="A29" s="22"/>
      <c r="B29" s="22"/>
      <c r="C29" s="22"/>
      <c r="D29" s="22"/>
      <c r="E29" s="22"/>
      <c r="F29" s="22"/>
      <c r="G29" s="22"/>
      <c r="H29" s="22"/>
      <c r="I29" s="22"/>
      <c r="J29" s="22"/>
      <c r="K29" s="17">
        <f>SUM(Table16[[#This Row],[Challenge 1]:[Challenge 50]])</f>
        <v>0</v>
      </c>
      <c r="L29" s="88">
        <f>SUM(Table16[[#This Row],[Club 1]:[Club 50]])</f>
        <v>0</v>
      </c>
      <c r="M29" s="88">
        <f>SUM(Table16[[#This Row],[Intra-school sports 1]:[Intra-school sports 50]])</f>
        <v>0</v>
      </c>
      <c r="N29" s="88">
        <f>SUM(Table16[[#This Row],[Inter School sports 1]:[Inter School sports 50]])</f>
        <v>0</v>
      </c>
      <c r="O29" s="17">
        <f>COUNTIF(Table16[[#This Row],[Community club (type name of club(s). All clubs will count as ''1'']],"*")</f>
        <v>0</v>
      </c>
      <c r="P29" s="17">
        <f>IF(OR(Table16[[#This Row],[Total Challenges]]&gt;0,Table16[[#This Row],[Total Ex-C Clubs]]&gt;0,Table16[[#This Row],[Total Intra-School Sports]]&gt;0,Table16[[#This Row],[Total Inter-School Sports]]&gt;0,Table16[[#This Row],[Community Clubs]]&gt;0),1,0)</f>
        <v>0</v>
      </c>
      <c r="Q29" s="22"/>
      <c r="R29" s="22"/>
      <c r="S29" s="22"/>
      <c r="T29" s="22"/>
      <c r="U29" s="22"/>
      <c r="V29" s="22"/>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21"/>
    </row>
    <row r="30" spans="1:218" x14ac:dyDescent="0.25">
      <c r="A30" s="22"/>
      <c r="B30" s="22"/>
      <c r="C30" s="22"/>
      <c r="D30" s="22"/>
      <c r="E30" s="22"/>
      <c r="F30" s="22"/>
      <c r="G30" s="22"/>
      <c r="H30" s="22"/>
      <c r="I30" s="22"/>
      <c r="J30" s="22"/>
      <c r="K30" s="17">
        <f>SUM(Table16[[#This Row],[Challenge 1]:[Challenge 50]])</f>
        <v>0</v>
      </c>
      <c r="L30" s="88">
        <f>SUM(Table16[[#This Row],[Club 1]:[Club 50]])</f>
        <v>0</v>
      </c>
      <c r="M30" s="88">
        <f>SUM(Table16[[#This Row],[Intra-school sports 1]:[Intra-school sports 50]])</f>
        <v>0</v>
      </c>
      <c r="N30" s="88">
        <f>SUM(Table16[[#This Row],[Inter School sports 1]:[Inter School sports 50]])</f>
        <v>0</v>
      </c>
      <c r="O30" s="17">
        <f>COUNTIF(Table16[[#This Row],[Community club (type name of club(s). All clubs will count as ''1'']],"*")</f>
        <v>0</v>
      </c>
      <c r="P30" s="17">
        <f>IF(OR(Table16[[#This Row],[Total Challenges]]&gt;0,Table16[[#This Row],[Total Ex-C Clubs]]&gt;0,Table16[[#This Row],[Total Intra-School Sports]]&gt;0,Table16[[#This Row],[Total Inter-School Sports]]&gt;0,Table16[[#This Row],[Community Clubs]]&gt;0),1,0)</f>
        <v>0</v>
      </c>
      <c r="Q30" s="22"/>
      <c r="R30" s="22"/>
      <c r="S30" s="22"/>
      <c r="T30" s="22"/>
      <c r="U30" s="22"/>
      <c r="V30" s="22"/>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21"/>
    </row>
    <row r="31" spans="1:218" x14ac:dyDescent="0.25">
      <c r="A31" s="22"/>
      <c r="B31" s="22"/>
      <c r="C31" s="22"/>
      <c r="D31" s="22"/>
      <c r="E31" s="22"/>
      <c r="F31" s="22"/>
      <c r="G31" s="22"/>
      <c r="H31" s="22"/>
      <c r="I31" s="22"/>
      <c r="J31" s="22"/>
      <c r="K31" s="17">
        <f>SUM(Table16[[#This Row],[Challenge 1]:[Challenge 50]])</f>
        <v>0</v>
      </c>
      <c r="L31" s="88">
        <f>SUM(Table16[[#This Row],[Club 1]:[Club 50]])</f>
        <v>0</v>
      </c>
      <c r="M31" s="88">
        <f>SUM(Table16[[#This Row],[Intra-school sports 1]:[Intra-school sports 50]])</f>
        <v>0</v>
      </c>
      <c r="N31" s="88">
        <f>SUM(Table16[[#This Row],[Inter School sports 1]:[Inter School sports 50]])</f>
        <v>0</v>
      </c>
      <c r="O31" s="17">
        <f>COUNTIF(Table16[[#This Row],[Community club (type name of club(s). All clubs will count as ''1'']],"*")</f>
        <v>0</v>
      </c>
      <c r="P31" s="17">
        <f>IF(OR(Table16[[#This Row],[Total Challenges]]&gt;0,Table16[[#This Row],[Total Ex-C Clubs]]&gt;0,Table16[[#This Row],[Total Intra-School Sports]]&gt;0,Table16[[#This Row],[Total Inter-School Sports]]&gt;0,Table16[[#This Row],[Community Clubs]]&gt;0),1,0)</f>
        <v>0</v>
      </c>
      <c r="Q31" s="22"/>
      <c r="R31" s="22"/>
      <c r="S31" s="22"/>
      <c r="T31" s="22"/>
      <c r="U31" s="22"/>
      <c r="V31" s="22"/>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21"/>
    </row>
    <row r="32" spans="1:218" x14ac:dyDescent="0.25">
      <c r="A32" s="22"/>
      <c r="B32" s="22"/>
      <c r="C32" s="22"/>
      <c r="D32" s="22"/>
      <c r="E32" s="22"/>
      <c r="F32" s="22"/>
      <c r="G32" s="22"/>
      <c r="H32" s="22"/>
      <c r="I32" s="22"/>
      <c r="J32" s="22"/>
      <c r="K32" s="17">
        <f>SUM(Table16[[#This Row],[Challenge 1]:[Challenge 50]])</f>
        <v>0</v>
      </c>
      <c r="L32" s="88">
        <f>SUM(Table16[[#This Row],[Club 1]:[Club 50]])</f>
        <v>0</v>
      </c>
      <c r="M32" s="88">
        <f>SUM(Table16[[#This Row],[Intra-school sports 1]:[Intra-school sports 50]])</f>
        <v>0</v>
      </c>
      <c r="N32" s="88">
        <f>SUM(Table16[[#This Row],[Inter School sports 1]:[Inter School sports 50]])</f>
        <v>0</v>
      </c>
      <c r="O32" s="17">
        <f>COUNTIF(Table16[[#This Row],[Community club (type name of club(s). All clubs will count as ''1'']],"*")</f>
        <v>0</v>
      </c>
      <c r="P32" s="17">
        <f>IF(OR(Table16[[#This Row],[Total Challenges]]&gt;0,Table16[[#This Row],[Total Ex-C Clubs]]&gt;0,Table16[[#This Row],[Total Intra-School Sports]]&gt;0,Table16[[#This Row],[Total Inter-School Sports]]&gt;0,Table16[[#This Row],[Community Clubs]]&gt;0),1,0)</f>
        <v>0</v>
      </c>
      <c r="Q32" s="22"/>
      <c r="R32" s="22"/>
      <c r="S32" s="22"/>
      <c r="T32" s="22"/>
      <c r="U32" s="22"/>
      <c r="V32" s="22"/>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21"/>
    </row>
    <row r="33" spans="1:218" x14ac:dyDescent="0.25">
      <c r="A33" s="22"/>
      <c r="B33" s="22"/>
      <c r="C33" s="22"/>
      <c r="D33" s="22"/>
      <c r="E33" s="22"/>
      <c r="F33" s="22"/>
      <c r="G33" s="22"/>
      <c r="H33" s="22"/>
      <c r="I33" s="22"/>
      <c r="J33" s="22"/>
      <c r="K33" s="17">
        <f>SUM(Table16[[#This Row],[Challenge 1]:[Challenge 50]])</f>
        <v>0</v>
      </c>
      <c r="L33" s="88">
        <f>SUM(Table16[[#This Row],[Club 1]:[Club 50]])</f>
        <v>0</v>
      </c>
      <c r="M33" s="88">
        <f>SUM(Table16[[#This Row],[Intra-school sports 1]:[Intra-school sports 50]])</f>
        <v>0</v>
      </c>
      <c r="N33" s="88">
        <f>SUM(Table16[[#This Row],[Inter School sports 1]:[Inter School sports 50]])</f>
        <v>0</v>
      </c>
      <c r="O33" s="17">
        <f>COUNTIF(Table16[[#This Row],[Community club (type name of club(s). All clubs will count as ''1'']],"*")</f>
        <v>0</v>
      </c>
      <c r="P33" s="17">
        <f>IF(OR(Table16[[#This Row],[Total Challenges]]&gt;0,Table16[[#This Row],[Total Ex-C Clubs]]&gt;0,Table16[[#This Row],[Total Intra-School Sports]]&gt;0,Table16[[#This Row],[Total Inter-School Sports]]&gt;0,Table16[[#This Row],[Community Clubs]]&gt;0),1,0)</f>
        <v>0</v>
      </c>
      <c r="Q33" s="22"/>
      <c r="R33" s="22"/>
      <c r="S33" s="22"/>
      <c r="T33" s="22"/>
      <c r="U33" s="22"/>
      <c r="V33" s="22"/>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21"/>
    </row>
    <row r="34" spans="1:218" x14ac:dyDescent="0.25">
      <c r="A34" s="22"/>
      <c r="B34" s="22"/>
      <c r="C34" s="22"/>
      <c r="D34" s="22"/>
      <c r="E34" s="22"/>
      <c r="F34" s="22"/>
      <c r="G34" s="22"/>
      <c r="H34" s="22"/>
      <c r="I34" s="22"/>
      <c r="J34" s="22"/>
      <c r="K34" s="17">
        <f>SUM(Table16[[#This Row],[Challenge 1]:[Challenge 50]])</f>
        <v>0</v>
      </c>
      <c r="L34" s="88">
        <f>SUM(Table16[[#This Row],[Club 1]:[Club 50]])</f>
        <v>0</v>
      </c>
      <c r="M34" s="88">
        <f>SUM(Table16[[#This Row],[Intra-school sports 1]:[Intra-school sports 50]])</f>
        <v>0</v>
      </c>
      <c r="N34" s="88">
        <f>SUM(Table16[[#This Row],[Inter School sports 1]:[Inter School sports 50]])</f>
        <v>0</v>
      </c>
      <c r="O34" s="17">
        <f>COUNTIF(Table16[[#This Row],[Community club (type name of club(s). All clubs will count as ''1'']],"*")</f>
        <v>0</v>
      </c>
      <c r="P34" s="17">
        <f>IF(OR(Table16[[#This Row],[Total Challenges]]&gt;0,Table16[[#This Row],[Total Ex-C Clubs]]&gt;0,Table16[[#This Row],[Total Intra-School Sports]]&gt;0,Table16[[#This Row],[Total Inter-School Sports]]&gt;0,Table16[[#This Row],[Community Clubs]]&gt;0),1,0)</f>
        <v>0</v>
      </c>
      <c r="Q34" s="22"/>
      <c r="R34" s="22"/>
      <c r="S34" s="22"/>
      <c r="T34" s="22"/>
      <c r="U34" s="22"/>
      <c r="V34" s="22"/>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21"/>
    </row>
    <row r="35" spans="1:218" x14ac:dyDescent="0.25">
      <c r="A35" s="22"/>
      <c r="B35" s="22"/>
      <c r="C35" s="22"/>
      <c r="D35" s="22"/>
      <c r="E35" s="22"/>
      <c r="F35" s="22"/>
      <c r="G35" s="22"/>
      <c r="H35" s="22"/>
      <c r="I35" s="22"/>
      <c r="J35" s="22"/>
      <c r="K35" s="17">
        <f>SUM(Table16[[#This Row],[Challenge 1]:[Challenge 50]])</f>
        <v>0</v>
      </c>
      <c r="L35" s="88">
        <f>SUM(Table16[[#This Row],[Club 1]:[Club 50]])</f>
        <v>0</v>
      </c>
      <c r="M35" s="88">
        <f>SUM(Table16[[#This Row],[Intra-school sports 1]:[Intra-school sports 50]])</f>
        <v>0</v>
      </c>
      <c r="N35" s="88">
        <f>SUM(Table16[[#This Row],[Inter School sports 1]:[Inter School sports 50]])</f>
        <v>0</v>
      </c>
      <c r="O35" s="17">
        <f>COUNTIF(Table16[[#This Row],[Community club (type name of club(s). All clubs will count as ''1'']],"*")</f>
        <v>0</v>
      </c>
      <c r="P35" s="17">
        <f>IF(OR(Table16[[#This Row],[Total Challenges]]&gt;0,Table16[[#This Row],[Total Ex-C Clubs]]&gt;0,Table16[[#This Row],[Total Intra-School Sports]]&gt;0,Table16[[#This Row],[Total Inter-School Sports]]&gt;0,Table16[[#This Row],[Community Clubs]]&gt;0),1,0)</f>
        <v>0</v>
      </c>
      <c r="Q35" s="22"/>
      <c r="R35" s="22"/>
      <c r="S35" s="22"/>
      <c r="T35" s="22"/>
      <c r="U35" s="22"/>
      <c r="V35" s="22"/>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21"/>
    </row>
    <row r="36" spans="1:218" x14ac:dyDescent="0.25">
      <c r="A36" s="22"/>
      <c r="B36" s="22"/>
      <c r="C36" s="22"/>
      <c r="D36" s="22"/>
      <c r="E36" s="22"/>
      <c r="F36" s="22"/>
      <c r="G36" s="22"/>
      <c r="H36" s="22"/>
      <c r="I36" s="22"/>
      <c r="J36" s="22"/>
      <c r="K36" s="17">
        <f>SUM(Table16[[#This Row],[Challenge 1]:[Challenge 50]])</f>
        <v>0</v>
      </c>
      <c r="L36" s="88">
        <f>SUM(Table16[[#This Row],[Club 1]:[Club 50]])</f>
        <v>0</v>
      </c>
      <c r="M36" s="88">
        <f>SUM(Table16[[#This Row],[Intra-school sports 1]:[Intra-school sports 50]])</f>
        <v>0</v>
      </c>
      <c r="N36" s="88">
        <f>SUM(Table16[[#This Row],[Inter School sports 1]:[Inter School sports 50]])</f>
        <v>0</v>
      </c>
      <c r="O36" s="17">
        <f>COUNTIF(Table16[[#This Row],[Community club (type name of club(s). All clubs will count as ''1'']],"*")</f>
        <v>0</v>
      </c>
      <c r="P36" s="17">
        <f>IF(OR(Table16[[#This Row],[Total Challenges]]&gt;0,Table16[[#This Row],[Total Ex-C Clubs]]&gt;0,Table16[[#This Row],[Total Intra-School Sports]]&gt;0,Table16[[#This Row],[Total Inter-School Sports]]&gt;0,Table16[[#This Row],[Community Clubs]]&gt;0),1,0)</f>
        <v>0</v>
      </c>
      <c r="Q36" s="22"/>
      <c r="R36" s="22"/>
      <c r="S36" s="22"/>
      <c r="T36" s="22"/>
      <c r="U36" s="22"/>
      <c r="V36" s="22"/>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21"/>
    </row>
    <row r="37" spans="1:218" x14ac:dyDescent="0.25">
      <c r="A37" s="22"/>
      <c r="B37" s="22"/>
      <c r="C37" s="22"/>
      <c r="D37" s="22"/>
      <c r="E37" s="22"/>
      <c r="F37" s="22"/>
      <c r="G37" s="22"/>
      <c r="H37" s="22"/>
      <c r="I37" s="22"/>
      <c r="J37" s="22"/>
      <c r="K37" s="17">
        <f>SUM(Table16[[#This Row],[Challenge 1]:[Challenge 50]])</f>
        <v>0</v>
      </c>
      <c r="L37" s="88">
        <f>SUM(Table16[[#This Row],[Club 1]:[Club 50]])</f>
        <v>0</v>
      </c>
      <c r="M37" s="88">
        <f>SUM(Table16[[#This Row],[Intra-school sports 1]:[Intra-school sports 50]])</f>
        <v>0</v>
      </c>
      <c r="N37" s="88">
        <f>SUM(Table16[[#This Row],[Inter School sports 1]:[Inter School sports 50]])</f>
        <v>0</v>
      </c>
      <c r="O37" s="17">
        <f>COUNTIF(Table16[[#This Row],[Community club (type name of club(s). All clubs will count as ''1'']],"*")</f>
        <v>0</v>
      </c>
      <c r="P37" s="17">
        <f>IF(OR(Table16[[#This Row],[Total Challenges]]&gt;0,Table16[[#This Row],[Total Ex-C Clubs]]&gt;0,Table16[[#This Row],[Total Intra-School Sports]]&gt;0,Table16[[#This Row],[Total Inter-School Sports]]&gt;0,Table16[[#This Row],[Community Clubs]]&gt;0),1,0)</f>
        <v>0</v>
      </c>
      <c r="Q37" s="22"/>
      <c r="R37" s="22"/>
      <c r="S37" s="22"/>
      <c r="T37" s="22"/>
      <c r="U37" s="22"/>
      <c r="V37" s="22"/>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21"/>
    </row>
    <row r="38" spans="1:218" x14ac:dyDescent="0.25">
      <c r="A38" s="22"/>
      <c r="B38" s="22"/>
      <c r="C38" s="22"/>
      <c r="D38" s="22"/>
      <c r="E38" s="22"/>
      <c r="F38" s="22"/>
      <c r="G38" s="22"/>
      <c r="H38" s="22"/>
      <c r="I38" s="22"/>
      <c r="J38" s="22"/>
      <c r="K38" s="17">
        <f>SUM(Table16[[#This Row],[Challenge 1]:[Challenge 50]])</f>
        <v>0</v>
      </c>
      <c r="L38" s="88">
        <f>SUM(Table16[[#This Row],[Club 1]:[Club 50]])</f>
        <v>0</v>
      </c>
      <c r="M38" s="88">
        <f>SUM(Table16[[#This Row],[Intra-school sports 1]:[Intra-school sports 50]])</f>
        <v>0</v>
      </c>
      <c r="N38" s="88">
        <f>SUM(Table16[[#This Row],[Inter School sports 1]:[Inter School sports 50]])</f>
        <v>0</v>
      </c>
      <c r="O38" s="17">
        <f>COUNTIF(Table16[[#This Row],[Community club (type name of club(s). All clubs will count as ''1'']],"*")</f>
        <v>0</v>
      </c>
      <c r="P38" s="17">
        <f>IF(OR(Table16[[#This Row],[Total Challenges]]&gt;0,Table16[[#This Row],[Total Ex-C Clubs]]&gt;0,Table16[[#This Row],[Total Intra-School Sports]]&gt;0,Table16[[#This Row],[Total Inter-School Sports]]&gt;0,Table16[[#This Row],[Community Clubs]]&gt;0),1,0)</f>
        <v>0</v>
      </c>
      <c r="Q38" s="22"/>
      <c r="R38" s="22"/>
      <c r="S38" s="22"/>
      <c r="T38" s="22"/>
      <c r="U38" s="22"/>
      <c r="V38" s="22"/>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21"/>
    </row>
    <row r="39" spans="1:218" x14ac:dyDescent="0.25">
      <c r="A39" s="22"/>
      <c r="B39" s="22"/>
      <c r="C39" s="22"/>
      <c r="D39" s="22"/>
      <c r="E39" s="22"/>
      <c r="F39" s="22"/>
      <c r="G39" s="22"/>
      <c r="H39" s="22"/>
      <c r="I39" s="22"/>
      <c r="J39" s="22"/>
      <c r="K39" s="17">
        <f>SUM(Table16[[#This Row],[Challenge 1]:[Challenge 50]])</f>
        <v>0</v>
      </c>
      <c r="L39" s="88">
        <f>SUM(Table16[[#This Row],[Club 1]:[Club 50]])</f>
        <v>0</v>
      </c>
      <c r="M39" s="88">
        <f>SUM(Table16[[#This Row],[Intra-school sports 1]:[Intra-school sports 50]])</f>
        <v>0</v>
      </c>
      <c r="N39" s="88">
        <f>SUM(Table16[[#This Row],[Inter School sports 1]:[Inter School sports 50]])</f>
        <v>0</v>
      </c>
      <c r="O39" s="17">
        <f>COUNTIF(Table16[[#This Row],[Community club (type name of club(s). All clubs will count as ''1'']],"*")</f>
        <v>0</v>
      </c>
      <c r="P39" s="17">
        <f>IF(OR(Table16[[#This Row],[Total Challenges]]&gt;0,Table16[[#This Row],[Total Ex-C Clubs]]&gt;0,Table16[[#This Row],[Total Intra-School Sports]]&gt;0,Table16[[#This Row],[Total Inter-School Sports]]&gt;0,Table16[[#This Row],[Community Clubs]]&gt;0),1,0)</f>
        <v>0</v>
      </c>
      <c r="Q39" s="22"/>
      <c r="R39" s="22"/>
      <c r="S39" s="22"/>
      <c r="T39" s="22"/>
      <c r="U39" s="22"/>
      <c r="V39" s="22"/>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21"/>
    </row>
    <row r="40" spans="1:218" x14ac:dyDescent="0.25">
      <c r="A40" s="22"/>
      <c r="B40" s="22"/>
      <c r="C40" s="22"/>
      <c r="D40" s="22"/>
      <c r="E40" s="22"/>
      <c r="F40" s="22"/>
      <c r="G40" s="22"/>
      <c r="H40" s="22"/>
      <c r="I40" s="22"/>
      <c r="J40" s="22"/>
      <c r="K40" s="17">
        <f>SUM(Table16[[#This Row],[Challenge 1]:[Challenge 50]])</f>
        <v>0</v>
      </c>
      <c r="L40" s="88">
        <f>SUM(Table16[[#This Row],[Club 1]:[Club 50]])</f>
        <v>0</v>
      </c>
      <c r="M40" s="88">
        <f>SUM(Table16[[#This Row],[Intra-school sports 1]:[Intra-school sports 50]])</f>
        <v>0</v>
      </c>
      <c r="N40" s="88">
        <f>SUM(Table16[[#This Row],[Inter School sports 1]:[Inter School sports 50]])</f>
        <v>0</v>
      </c>
      <c r="O40" s="17">
        <f>COUNTIF(Table16[[#This Row],[Community club (type name of club(s). All clubs will count as ''1'']],"*")</f>
        <v>0</v>
      </c>
      <c r="P40" s="17">
        <f>IF(OR(Table16[[#This Row],[Total Challenges]]&gt;0,Table16[[#This Row],[Total Ex-C Clubs]]&gt;0,Table16[[#This Row],[Total Intra-School Sports]]&gt;0,Table16[[#This Row],[Total Inter-School Sports]]&gt;0,Table16[[#This Row],[Community Clubs]]&gt;0),1,0)</f>
        <v>0</v>
      </c>
      <c r="Q40" s="22"/>
      <c r="R40" s="22"/>
      <c r="S40" s="22"/>
      <c r="T40" s="22"/>
      <c r="U40" s="22"/>
      <c r="V40" s="22"/>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21"/>
    </row>
    <row r="41" spans="1:218" x14ac:dyDescent="0.25">
      <c r="A41" s="22"/>
      <c r="B41" s="22"/>
      <c r="C41" s="22"/>
      <c r="D41" s="22"/>
      <c r="E41" s="22"/>
      <c r="F41" s="22"/>
      <c r="G41" s="22"/>
      <c r="H41" s="22"/>
      <c r="I41" s="22"/>
      <c r="J41" s="22"/>
      <c r="K41" s="17">
        <f>SUM(Table16[[#This Row],[Challenge 1]:[Challenge 50]])</f>
        <v>0</v>
      </c>
      <c r="L41" s="88">
        <f>SUM(Table16[[#This Row],[Club 1]:[Club 50]])</f>
        <v>0</v>
      </c>
      <c r="M41" s="88">
        <f>SUM(Table16[[#This Row],[Intra-school sports 1]:[Intra-school sports 50]])</f>
        <v>0</v>
      </c>
      <c r="N41" s="88">
        <f>SUM(Table16[[#This Row],[Inter School sports 1]:[Inter School sports 50]])</f>
        <v>0</v>
      </c>
      <c r="O41" s="17">
        <f>COUNTIF(Table16[[#This Row],[Community club (type name of club(s). All clubs will count as ''1'']],"*")</f>
        <v>0</v>
      </c>
      <c r="P41" s="17">
        <f>IF(OR(Table16[[#This Row],[Total Challenges]]&gt;0,Table16[[#This Row],[Total Ex-C Clubs]]&gt;0,Table16[[#This Row],[Total Intra-School Sports]]&gt;0,Table16[[#This Row],[Total Inter-School Sports]]&gt;0,Table16[[#This Row],[Community Clubs]]&gt;0),1,0)</f>
        <v>0</v>
      </c>
      <c r="Q41" s="22"/>
      <c r="R41" s="22"/>
      <c r="S41" s="22"/>
      <c r="T41" s="22"/>
      <c r="U41" s="22"/>
      <c r="V41" s="22"/>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21"/>
    </row>
    <row r="42" spans="1:218" x14ac:dyDescent="0.25">
      <c r="A42" s="22"/>
      <c r="B42" s="22"/>
      <c r="C42" s="22"/>
      <c r="D42" s="22"/>
      <c r="E42" s="22"/>
      <c r="F42" s="22"/>
      <c r="G42" s="22"/>
      <c r="H42" s="22"/>
      <c r="I42" s="22"/>
      <c r="J42" s="22"/>
      <c r="K42" s="17">
        <f>SUM(Table16[[#This Row],[Challenge 1]:[Challenge 50]])</f>
        <v>0</v>
      </c>
      <c r="L42" s="88">
        <f>SUM(Table16[[#This Row],[Club 1]:[Club 50]])</f>
        <v>0</v>
      </c>
      <c r="M42" s="88">
        <f>SUM(Table16[[#This Row],[Intra-school sports 1]:[Intra-school sports 50]])</f>
        <v>0</v>
      </c>
      <c r="N42" s="88">
        <f>SUM(Table16[[#This Row],[Inter School sports 1]:[Inter School sports 50]])</f>
        <v>0</v>
      </c>
      <c r="O42" s="17">
        <f>COUNTIF(Table16[[#This Row],[Community club (type name of club(s). All clubs will count as ''1'']],"*")</f>
        <v>0</v>
      </c>
      <c r="P42" s="17">
        <f>IF(OR(Table16[[#This Row],[Total Challenges]]&gt;0,Table16[[#This Row],[Total Ex-C Clubs]]&gt;0,Table16[[#This Row],[Total Intra-School Sports]]&gt;0,Table16[[#This Row],[Total Inter-School Sports]]&gt;0,Table16[[#This Row],[Community Clubs]]&gt;0),1,0)</f>
        <v>0</v>
      </c>
      <c r="Q42" s="22"/>
      <c r="R42" s="22"/>
      <c r="S42" s="22"/>
      <c r="T42" s="22"/>
      <c r="U42" s="22"/>
      <c r="V42" s="22"/>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21"/>
    </row>
    <row r="43" spans="1:218" x14ac:dyDescent="0.25">
      <c r="A43" s="22"/>
      <c r="B43" s="22"/>
      <c r="C43" s="22"/>
      <c r="D43" s="22"/>
      <c r="E43" s="22"/>
      <c r="F43" s="22"/>
      <c r="G43" s="22"/>
      <c r="H43" s="22"/>
      <c r="I43" s="22"/>
      <c r="J43" s="22"/>
      <c r="K43" s="17">
        <f>SUM(Table16[[#This Row],[Challenge 1]:[Challenge 50]])</f>
        <v>0</v>
      </c>
      <c r="L43" s="88">
        <f>SUM(Table16[[#This Row],[Club 1]:[Club 50]])</f>
        <v>0</v>
      </c>
      <c r="M43" s="88">
        <f>SUM(Table16[[#This Row],[Intra-school sports 1]:[Intra-school sports 50]])</f>
        <v>0</v>
      </c>
      <c r="N43" s="88">
        <f>SUM(Table16[[#This Row],[Inter School sports 1]:[Inter School sports 50]])</f>
        <v>0</v>
      </c>
      <c r="O43" s="17">
        <f>COUNTIF(Table16[[#This Row],[Community club (type name of club(s). All clubs will count as ''1'']],"*")</f>
        <v>0</v>
      </c>
      <c r="P43" s="17">
        <f>IF(OR(Table16[[#This Row],[Total Challenges]]&gt;0,Table16[[#This Row],[Total Ex-C Clubs]]&gt;0,Table16[[#This Row],[Total Intra-School Sports]]&gt;0,Table16[[#This Row],[Total Inter-School Sports]]&gt;0,Table16[[#This Row],[Community Clubs]]&gt;0),1,0)</f>
        <v>0</v>
      </c>
      <c r="Q43" s="22"/>
      <c r="R43" s="22"/>
      <c r="S43" s="22"/>
      <c r="T43" s="22"/>
      <c r="U43" s="22"/>
      <c r="V43" s="22"/>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21"/>
    </row>
    <row r="44" spans="1:218" x14ac:dyDescent="0.25">
      <c r="A44" s="22"/>
      <c r="B44" s="22"/>
      <c r="C44" s="22"/>
      <c r="D44" s="22"/>
      <c r="E44" s="22"/>
      <c r="F44" s="22"/>
      <c r="G44" s="22"/>
      <c r="H44" s="22"/>
      <c r="I44" s="22"/>
      <c r="J44" s="22"/>
      <c r="K44" s="17">
        <f>SUM(Table16[[#This Row],[Challenge 1]:[Challenge 50]])</f>
        <v>0</v>
      </c>
      <c r="L44" s="88">
        <f>SUM(Table16[[#This Row],[Club 1]:[Club 50]])</f>
        <v>0</v>
      </c>
      <c r="M44" s="88">
        <f>SUM(Table16[[#This Row],[Intra-school sports 1]:[Intra-school sports 50]])</f>
        <v>0</v>
      </c>
      <c r="N44" s="88">
        <f>SUM(Table16[[#This Row],[Inter School sports 1]:[Inter School sports 50]])</f>
        <v>0</v>
      </c>
      <c r="O44" s="17">
        <f>COUNTIF(Table16[[#This Row],[Community club (type name of club(s). All clubs will count as ''1'']],"*")</f>
        <v>0</v>
      </c>
      <c r="P44" s="17">
        <f>IF(OR(Table16[[#This Row],[Total Challenges]]&gt;0,Table16[[#This Row],[Total Ex-C Clubs]]&gt;0,Table16[[#This Row],[Total Intra-School Sports]]&gt;0,Table16[[#This Row],[Total Inter-School Sports]]&gt;0,Table16[[#This Row],[Community Clubs]]&gt;0),1,0)</f>
        <v>0</v>
      </c>
      <c r="Q44" s="22"/>
      <c r="R44" s="22"/>
      <c r="S44" s="22"/>
      <c r="T44" s="22"/>
      <c r="U44" s="22"/>
      <c r="V44" s="22"/>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21"/>
    </row>
    <row r="45" spans="1:218" x14ac:dyDescent="0.25">
      <c r="A45" s="22"/>
      <c r="B45" s="22"/>
      <c r="C45" s="22"/>
      <c r="D45" s="22"/>
      <c r="E45" s="22"/>
      <c r="F45" s="22"/>
      <c r="G45" s="22"/>
      <c r="H45" s="22"/>
      <c r="I45" s="22"/>
      <c r="J45" s="22"/>
      <c r="K45" s="17">
        <f>SUM(Table16[[#This Row],[Challenge 1]:[Challenge 50]])</f>
        <v>0</v>
      </c>
      <c r="L45" s="88">
        <f>SUM(Table16[[#This Row],[Club 1]:[Club 50]])</f>
        <v>0</v>
      </c>
      <c r="M45" s="88">
        <f>SUM(Table16[[#This Row],[Intra-school sports 1]:[Intra-school sports 50]])</f>
        <v>0</v>
      </c>
      <c r="N45" s="88">
        <f>SUM(Table16[[#This Row],[Inter School sports 1]:[Inter School sports 50]])</f>
        <v>0</v>
      </c>
      <c r="O45" s="17">
        <f>COUNTIF(Table16[[#This Row],[Community club (type name of club(s). All clubs will count as ''1'']],"*")</f>
        <v>0</v>
      </c>
      <c r="P45" s="17">
        <f>IF(OR(Table16[[#This Row],[Total Challenges]]&gt;0,Table16[[#This Row],[Total Ex-C Clubs]]&gt;0,Table16[[#This Row],[Total Intra-School Sports]]&gt;0,Table16[[#This Row],[Total Inter-School Sports]]&gt;0,Table16[[#This Row],[Community Clubs]]&gt;0),1,0)</f>
        <v>0</v>
      </c>
      <c r="Q45" s="22"/>
      <c r="R45" s="22"/>
      <c r="S45" s="22"/>
      <c r="T45" s="22"/>
      <c r="U45" s="22"/>
      <c r="V45" s="22"/>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21"/>
    </row>
    <row r="46" spans="1:218" x14ac:dyDescent="0.25">
      <c r="A46" s="22"/>
      <c r="B46" s="22"/>
      <c r="C46" s="22"/>
      <c r="D46" s="22"/>
      <c r="E46" s="22"/>
      <c r="F46" s="22"/>
      <c r="G46" s="22"/>
      <c r="H46" s="22"/>
      <c r="I46" s="22"/>
      <c r="J46" s="22"/>
      <c r="K46" s="17">
        <f>SUM(Table16[[#This Row],[Challenge 1]:[Challenge 50]])</f>
        <v>0</v>
      </c>
      <c r="L46" s="88">
        <f>SUM(Table16[[#This Row],[Club 1]:[Club 50]])</f>
        <v>0</v>
      </c>
      <c r="M46" s="88">
        <f>SUM(Table16[[#This Row],[Intra-school sports 1]:[Intra-school sports 50]])</f>
        <v>0</v>
      </c>
      <c r="N46" s="88">
        <f>SUM(Table16[[#This Row],[Inter School sports 1]:[Inter School sports 50]])</f>
        <v>0</v>
      </c>
      <c r="O46" s="17">
        <f>COUNTIF(Table16[[#This Row],[Community club (type name of club(s). All clubs will count as ''1'']],"*")</f>
        <v>0</v>
      </c>
      <c r="P46" s="17">
        <f>IF(OR(Table16[[#This Row],[Total Challenges]]&gt;0,Table16[[#This Row],[Total Ex-C Clubs]]&gt;0,Table16[[#This Row],[Total Intra-School Sports]]&gt;0,Table16[[#This Row],[Total Inter-School Sports]]&gt;0,Table16[[#This Row],[Community Clubs]]&gt;0),1,0)</f>
        <v>0</v>
      </c>
      <c r="Q46" s="22"/>
      <c r="R46" s="22"/>
      <c r="S46" s="22"/>
      <c r="T46" s="22"/>
      <c r="U46" s="22"/>
      <c r="V46" s="22"/>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21"/>
    </row>
    <row r="47" spans="1:218" x14ac:dyDescent="0.25">
      <c r="A47" s="22"/>
      <c r="B47" s="22"/>
      <c r="C47" s="22"/>
      <c r="D47" s="22"/>
      <c r="E47" s="22"/>
      <c r="F47" s="22"/>
      <c r="G47" s="22"/>
      <c r="H47" s="22"/>
      <c r="I47" s="22"/>
      <c r="J47" s="22"/>
      <c r="K47" s="17">
        <f>SUM(Table16[[#This Row],[Challenge 1]:[Challenge 50]])</f>
        <v>0</v>
      </c>
      <c r="L47" s="88">
        <f>SUM(Table16[[#This Row],[Club 1]:[Club 50]])</f>
        <v>0</v>
      </c>
      <c r="M47" s="88">
        <f>SUM(Table16[[#This Row],[Intra-school sports 1]:[Intra-school sports 50]])</f>
        <v>0</v>
      </c>
      <c r="N47" s="88">
        <f>SUM(Table16[[#This Row],[Inter School sports 1]:[Inter School sports 50]])</f>
        <v>0</v>
      </c>
      <c r="O47" s="17">
        <f>COUNTIF(Table16[[#This Row],[Community club (type name of club(s). All clubs will count as ''1'']],"*")</f>
        <v>0</v>
      </c>
      <c r="P47" s="17">
        <f>IF(OR(Table16[[#This Row],[Total Challenges]]&gt;0,Table16[[#This Row],[Total Ex-C Clubs]]&gt;0,Table16[[#This Row],[Total Intra-School Sports]]&gt;0,Table16[[#This Row],[Total Inter-School Sports]]&gt;0,Table16[[#This Row],[Community Clubs]]&gt;0),1,0)</f>
        <v>0</v>
      </c>
      <c r="Q47" s="22"/>
      <c r="R47" s="22"/>
      <c r="S47" s="22"/>
      <c r="T47" s="22"/>
      <c r="U47" s="22"/>
      <c r="V47" s="22"/>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21"/>
    </row>
    <row r="48" spans="1:218" x14ac:dyDescent="0.25">
      <c r="A48" s="22"/>
      <c r="B48" s="22"/>
      <c r="C48" s="22"/>
      <c r="D48" s="22"/>
      <c r="E48" s="22"/>
      <c r="F48" s="22"/>
      <c r="G48" s="22"/>
      <c r="H48" s="22"/>
      <c r="I48" s="22"/>
      <c r="J48" s="22"/>
      <c r="K48" s="17">
        <f>SUM(Table16[[#This Row],[Challenge 1]:[Challenge 50]])</f>
        <v>0</v>
      </c>
      <c r="L48" s="88">
        <f>SUM(Table16[[#This Row],[Club 1]:[Club 50]])</f>
        <v>0</v>
      </c>
      <c r="M48" s="88">
        <f>SUM(Table16[[#This Row],[Intra-school sports 1]:[Intra-school sports 50]])</f>
        <v>0</v>
      </c>
      <c r="N48" s="88">
        <f>SUM(Table16[[#This Row],[Inter School sports 1]:[Inter School sports 50]])</f>
        <v>0</v>
      </c>
      <c r="O48" s="17">
        <f>COUNTIF(Table16[[#This Row],[Community club (type name of club(s). All clubs will count as ''1'']],"*")</f>
        <v>0</v>
      </c>
      <c r="P48" s="17">
        <f>IF(OR(Table16[[#This Row],[Total Challenges]]&gt;0,Table16[[#This Row],[Total Ex-C Clubs]]&gt;0,Table16[[#This Row],[Total Intra-School Sports]]&gt;0,Table16[[#This Row],[Total Inter-School Sports]]&gt;0,Table16[[#This Row],[Community Clubs]]&gt;0),1,0)</f>
        <v>0</v>
      </c>
      <c r="Q48" s="22"/>
      <c r="R48" s="22"/>
      <c r="S48" s="22"/>
      <c r="T48" s="22"/>
      <c r="U48" s="22"/>
      <c r="V48" s="22"/>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21"/>
    </row>
    <row r="49" spans="1:218" x14ac:dyDescent="0.25">
      <c r="A49" s="22"/>
      <c r="B49" s="22"/>
      <c r="C49" s="22"/>
      <c r="D49" s="22"/>
      <c r="E49" s="22"/>
      <c r="F49" s="22"/>
      <c r="G49" s="22"/>
      <c r="H49" s="22"/>
      <c r="I49" s="22"/>
      <c r="J49" s="22"/>
      <c r="K49" s="17">
        <f>SUM(Table16[[#This Row],[Challenge 1]:[Challenge 50]])</f>
        <v>0</v>
      </c>
      <c r="L49" s="88">
        <f>SUM(Table16[[#This Row],[Club 1]:[Club 50]])</f>
        <v>0</v>
      </c>
      <c r="M49" s="88">
        <f>SUM(Table16[[#This Row],[Intra-school sports 1]:[Intra-school sports 50]])</f>
        <v>0</v>
      </c>
      <c r="N49" s="88">
        <f>SUM(Table16[[#This Row],[Inter School sports 1]:[Inter School sports 50]])</f>
        <v>0</v>
      </c>
      <c r="O49" s="17">
        <f>COUNTIF(Table16[[#This Row],[Community club (type name of club(s). All clubs will count as ''1'']],"*")</f>
        <v>0</v>
      </c>
      <c r="P49" s="17">
        <f>IF(OR(Table16[[#This Row],[Total Challenges]]&gt;0,Table16[[#This Row],[Total Ex-C Clubs]]&gt;0,Table16[[#This Row],[Total Intra-School Sports]]&gt;0,Table16[[#This Row],[Total Inter-School Sports]]&gt;0,Table16[[#This Row],[Community Clubs]]&gt;0),1,0)</f>
        <v>0</v>
      </c>
      <c r="Q49" s="22"/>
      <c r="R49" s="22"/>
      <c r="S49" s="22"/>
      <c r="T49" s="22"/>
      <c r="U49" s="22"/>
      <c r="V49" s="22"/>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21"/>
    </row>
    <row r="50" spans="1:218" x14ac:dyDescent="0.25">
      <c r="A50" s="22"/>
      <c r="B50" s="22"/>
      <c r="C50" s="22"/>
      <c r="D50" s="22"/>
      <c r="E50" s="22"/>
      <c r="F50" s="22"/>
      <c r="G50" s="22"/>
      <c r="H50" s="22"/>
      <c r="I50" s="22"/>
      <c r="J50" s="22"/>
      <c r="K50" s="17">
        <f>SUM(Table16[[#This Row],[Challenge 1]:[Challenge 50]])</f>
        <v>0</v>
      </c>
      <c r="L50" s="88">
        <f>SUM(Table16[[#This Row],[Club 1]:[Club 50]])</f>
        <v>0</v>
      </c>
      <c r="M50" s="88">
        <f>SUM(Table16[[#This Row],[Intra-school sports 1]:[Intra-school sports 50]])</f>
        <v>0</v>
      </c>
      <c r="N50" s="88">
        <f>SUM(Table16[[#This Row],[Inter School sports 1]:[Inter School sports 50]])</f>
        <v>0</v>
      </c>
      <c r="O50" s="17">
        <f>COUNTIF(Table16[[#This Row],[Community club (type name of club(s). All clubs will count as ''1'']],"*")</f>
        <v>0</v>
      </c>
      <c r="P50" s="17">
        <f>IF(OR(Table16[[#This Row],[Total Challenges]]&gt;0,Table16[[#This Row],[Total Ex-C Clubs]]&gt;0,Table16[[#This Row],[Total Intra-School Sports]]&gt;0,Table16[[#This Row],[Total Inter-School Sports]]&gt;0,Table16[[#This Row],[Community Clubs]]&gt;0),1,0)</f>
        <v>0</v>
      </c>
      <c r="Q50" s="22"/>
      <c r="R50" s="22"/>
      <c r="S50" s="22"/>
      <c r="T50" s="22"/>
      <c r="U50" s="22"/>
      <c r="V50" s="22"/>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21"/>
    </row>
    <row r="51" spans="1:218" x14ac:dyDescent="0.25">
      <c r="A51" s="22"/>
      <c r="B51" s="22"/>
      <c r="C51" s="22"/>
      <c r="D51" s="22"/>
      <c r="E51" s="22"/>
      <c r="F51" s="22"/>
      <c r="G51" s="22"/>
      <c r="H51" s="22"/>
      <c r="I51" s="22"/>
      <c r="J51" s="22"/>
      <c r="K51" s="17">
        <f>SUM(Table16[[#This Row],[Challenge 1]:[Challenge 50]])</f>
        <v>0</v>
      </c>
      <c r="L51" s="88">
        <f>SUM(Table16[[#This Row],[Club 1]:[Club 50]])</f>
        <v>0</v>
      </c>
      <c r="M51" s="88">
        <f>SUM(Table16[[#This Row],[Intra-school sports 1]:[Intra-school sports 50]])</f>
        <v>0</v>
      </c>
      <c r="N51" s="88">
        <f>SUM(Table16[[#This Row],[Inter School sports 1]:[Inter School sports 50]])</f>
        <v>0</v>
      </c>
      <c r="O51" s="17">
        <f>COUNTIF(Table16[[#This Row],[Community club (type name of club(s). All clubs will count as ''1'']],"*")</f>
        <v>0</v>
      </c>
      <c r="P51" s="17">
        <f>IF(OR(Table16[[#This Row],[Total Challenges]]&gt;0,Table16[[#This Row],[Total Ex-C Clubs]]&gt;0,Table16[[#This Row],[Total Intra-School Sports]]&gt;0,Table16[[#This Row],[Total Inter-School Sports]]&gt;0,Table16[[#This Row],[Community Clubs]]&gt;0),1,0)</f>
        <v>0</v>
      </c>
      <c r="Q51" s="22"/>
      <c r="R51" s="22"/>
      <c r="S51" s="22"/>
      <c r="T51" s="22"/>
      <c r="U51" s="22"/>
      <c r="V51" s="22"/>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21"/>
    </row>
    <row r="52" spans="1:218" x14ac:dyDescent="0.25">
      <c r="A52" s="22"/>
      <c r="B52" s="22"/>
      <c r="C52" s="22"/>
      <c r="D52" s="22"/>
      <c r="E52" s="22"/>
      <c r="F52" s="22"/>
      <c r="G52" s="22"/>
      <c r="H52" s="22"/>
      <c r="I52" s="22"/>
      <c r="J52" s="22"/>
      <c r="K52" s="17">
        <f>SUM(Table16[[#This Row],[Challenge 1]:[Challenge 50]])</f>
        <v>0</v>
      </c>
      <c r="L52" s="88">
        <f>SUM(Table16[[#This Row],[Club 1]:[Club 50]])</f>
        <v>0</v>
      </c>
      <c r="M52" s="88">
        <f>SUM(Table16[[#This Row],[Intra-school sports 1]:[Intra-school sports 50]])</f>
        <v>0</v>
      </c>
      <c r="N52" s="88">
        <f>SUM(Table16[[#This Row],[Inter School sports 1]:[Inter School sports 50]])</f>
        <v>0</v>
      </c>
      <c r="O52" s="17">
        <f>COUNTIF(Table16[[#This Row],[Community club (type name of club(s). All clubs will count as ''1'']],"*")</f>
        <v>0</v>
      </c>
      <c r="P52" s="17">
        <f>IF(OR(Table16[[#This Row],[Total Challenges]]&gt;0,Table16[[#This Row],[Total Ex-C Clubs]]&gt;0,Table16[[#This Row],[Total Intra-School Sports]]&gt;0,Table16[[#This Row],[Total Inter-School Sports]]&gt;0,Table16[[#This Row],[Community Clubs]]&gt;0),1,0)</f>
        <v>0</v>
      </c>
      <c r="Q52" s="22"/>
      <c r="R52" s="22"/>
      <c r="S52" s="22"/>
      <c r="T52" s="22"/>
      <c r="U52" s="22"/>
      <c r="V52" s="22"/>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21"/>
    </row>
    <row r="53" spans="1:218" x14ac:dyDescent="0.25">
      <c r="A53" s="22"/>
      <c r="B53" s="22"/>
      <c r="C53" s="22"/>
      <c r="D53" s="22"/>
      <c r="E53" s="22"/>
      <c r="F53" s="22"/>
      <c r="G53" s="22"/>
      <c r="H53" s="22"/>
      <c r="I53" s="22"/>
      <c r="J53" s="22"/>
      <c r="K53" s="17">
        <f>SUM(Table16[[#This Row],[Challenge 1]:[Challenge 50]])</f>
        <v>0</v>
      </c>
      <c r="L53" s="88">
        <f>SUM(Table16[[#This Row],[Club 1]:[Club 50]])</f>
        <v>0</v>
      </c>
      <c r="M53" s="88">
        <f>SUM(Table16[[#This Row],[Intra-school sports 1]:[Intra-school sports 50]])</f>
        <v>0</v>
      </c>
      <c r="N53" s="88">
        <f>SUM(Table16[[#This Row],[Inter School sports 1]:[Inter School sports 50]])</f>
        <v>0</v>
      </c>
      <c r="O53" s="17">
        <f>COUNTIF(Table16[[#This Row],[Community club (type name of club(s). All clubs will count as ''1'']],"*")</f>
        <v>0</v>
      </c>
      <c r="P53" s="17">
        <f>IF(OR(Table16[[#This Row],[Total Challenges]]&gt;0,Table16[[#This Row],[Total Ex-C Clubs]]&gt;0,Table16[[#This Row],[Total Intra-School Sports]]&gt;0,Table16[[#This Row],[Total Inter-School Sports]]&gt;0,Table16[[#This Row],[Community Clubs]]&gt;0),1,0)</f>
        <v>0</v>
      </c>
      <c r="Q53" s="22"/>
      <c r="R53" s="22"/>
      <c r="S53" s="22"/>
      <c r="T53" s="22"/>
      <c r="U53" s="22"/>
      <c r="V53" s="22"/>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21"/>
    </row>
    <row r="54" spans="1:218" x14ac:dyDescent="0.25">
      <c r="A54" s="22"/>
      <c r="B54" s="22"/>
      <c r="C54" s="22"/>
      <c r="D54" s="22"/>
      <c r="E54" s="22"/>
      <c r="F54" s="22"/>
      <c r="G54" s="22"/>
      <c r="H54" s="22"/>
      <c r="I54" s="22"/>
      <c r="J54" s="22"/>
      <c r="K54" s="17">
        <f>SUM(Table16[[#This Row],[Challenge 1]:[Challenge 50]])</f>
        <v>0</v>
      </c>
      <c r="L54" s="88">
        <f>SUM(Table16[[#This Row],[Club 1]:[Club 50]])</f>
        <v>0</v>
      </c>
      <c r="M54" s="88">
        <f>SUM(Table16[[#This Row],[Intra-school sports 1]:[Intra-school sports 50]])</f>
        <v>0</v>
      </c>
      <c r="N54" s="88">
        <f>SUM(Table16[[#This Row],[Inter School sports 1]:[Inter School sports 50]])</f>
        <v>0</v>
      </c>
      <c r="O54" s="17">
        <f>COUNTIF(Table16[[#This Row],[Community club (type name of club(s). All clubs will count as ''1'']],"*")</f>
        <v>0</v>
      </c>
      <c r="P54" s="17">
        <f>IF(OR(Table16[[#This Row],[Total Challenges]]&gt;0,Table16[[#This Row],[Total Ex-C Clubs]]&gt;0,Table16[[#This Row],[Total Intra-School Sports]]&gt;0,Table16[[#This Row],[Total Inter-School Sports]]&gt;0,Table16[[#This Row],[Community Clubs]]&gt;0),1,0)</f>
        <v>0</v>
      </c>
      <c r="Q54" s="22"/>
      <c r="R54" s="22"/>
      <c r="S54" s="22"/>
      <c r="T54" s="22"/>
      <c r="U54" s="22"/>
      <c r="V54" s="22"/>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21"/>
    </row>
    <row r="55" spans="1:218" x14ac:dyDescent="0.25">
      <c r="A55" s="22"/>
      <c r="B55" s="22"/>
      <c r="C55" s="22"/>
      <c r="D55" s="22"/>
      <c r="E55" s="22"/>
      <c r="F55" s="22"/>
      <c r="G55" s="22"/>
      <c r="H55" s="22"/>
      <c r="I55" s="22"/>
      <c r="J55" s="22"/>
      <c r="K55" s="17">
        <f>SUM(Table16[[#This Row],[Challenge 1]:[Challenge 50]])</f>
        <v>0</v>
      </c>
      <c r="L55" s="88">
        <f>SUM(Table16[[#This Row],[Club 1]:[Club 50]])</f>
        <v>0</v>
      </c>
      <c r="M55" s="88">
        <f>SUM(Table16[[#This Row],[Intra-school sports 1]:[Intra-school sports 50]])</f>
        <v>0</v>
      </c>
      <c r="N55" s="88">
        <f>SUM(Table16[[#This Row],[Inter School sports 1]:[Inter School sports 50]])</f>
        <v>0</v>
      </c>
      <c r="O55" s="17">
        <f>COUNTIF(Table16[[#This Row],[Community club (type name of club(s). All clubs will count as ''1'']],"*")</f>
        <v>0</v>
      </c>
      <c r="P55" s="17">
        <f>IF(OR(Table16[[#This Row],[Total Challenges]]&gt;0,Table16[[#This Row],[Total Ex-C Clubs]]&gt;0,Table16[[#This Row],[Total Intra-School Sports]]&gt;0,Table16[[#This Row],[Total Inter-School Sports]]&gt;0,Table16[[#This Row],[Community Clubs]]&gt;0),1,0)</f>
        <v>0</v>
      </c>
      <c r="Q55" s="22"/>
      <c r="R55" s="22"/>
      <c r="S55" s="22"/>
      <c r="T55" s="22"/>
      <c r="U55" s="22"/>
      <c r="V55" s="22"/>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21"/>
    </row>
    <row r="56" spans="1:218" x14ac:dyDescent="0.25">
      <c r="A56" s="22"/>
      <c r="B56" s="22"/>
      <c r="C56" s="22"/>
      <c r="D56" s="22"/>
      <c r="E56" s="22"/>
      <c r="F56" s="22"/>
      <c r="G56" s="22"/>
      <c r="H56" s="22"/>
      <c r="I56" s="22"/>
      <c r="J56" s="22"/>
      <c r="K56" s="17">
        <f>SUM(Table16[[#This Row],[Challenge 1]:[Challenge 50]])</f>
        <v>0</v>
      </c>
      <c r="L56" s="88">
        <f>SUM(Table16[[#This Row],[Club 1]:[Club 50]])</f>
        <v>0</v>
      </c>
      <c r="M56" s="88">
        <f>SUM(Table16[[#This Row],[Intra-school sports 1]:[Intra-school sports 50]])</f>
        <v>0</v>
      </c>
      <c r="N56" s="88">
        <f>SUM(Table16[[#This Row],[Inter School sports 1]:[Inter School sports 50]])</f>
        <v>0</v>
      </c>
      <c r="O56" s="17">
        <f>COUNTIF(Table16[[#This Row],[Community club (type name of club(s). All clubs will count as ''1'']],"*")</f>
        <v>0</v>
      </c>
      <c r="P56" s="17">
        <f>IF(OR(Table16[[#This Row],[Total Challenges]]&gt;0,Table16[[#This Row],[Total Ex-C Clubs]]&gt;0,Table16[[#This Row],[Total Intra-School Sports]]&gt;0,Table16[[#This Row],[Total Inter-School Sports]]&gt;0,Table16[[#This Row],[Community Clubs]]&gt;0),1,0)</f>
        <v>0</v>
      </c>
      <c r="Q56" s="22"/>
      <c r="R56" s="22"/>
      <c r="S56" s="22"/>
      <c r="T56" s="22"/>
      <c r="U56" s="22"/>
      <c r="V56" s="22"/>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21"/>
    </row>
    <row r="57" spans="1:218" x14ac:dyDescent="0.25">
      <c r="A57" s="22"/>
      <c r="B57" s="22"/>
      <c r="C57" s="22"/>
      <c r="D57" s="22"/>
      <c r="E57" s="22"/>
      <c r="F57" s="22"/>
      <c r="G57" s="22"/>
      <c r="H57" s="22"/>
      <c r="I57" s="22"/>
      <c r="J57" s="22"/>
      <c r="K57" s="17">
        <f>SUM(Table16[[#This Row],[Challenge 1]:[Challenge 50]])</f>
        <v>0</v>
      </c>
      <c r="L57" s="88">
        <f>SUM(Table16[[#This Row],[Club 1]:[Club 50]])</f>
        <v>0</v>
      </c>
      <c r="M57" s="88">
        <f>SUM(Table16[[#This Row],[Intra-school sports 1]:[Intra-school sports 50]])</f>
        <v>0</v>
      </c>
      <c r="N57" s="88">
        <f>SUM(Table16[[#This Row],[Inter School sports 1]:[Inter School sports 50]])</f>
        <v>0</v>
      </c>
      <c r="O57" s="17">
        <f>COUNTIF(Table16[[#This Row],[Community club (type name of club(s). All clubs will count as ''1'']],"*")</f>
        <v>0</v>
      </c>
      <c r="P57" s="17">
        <f>IF(OR(Table16[[#This Row],[Total Challenges]]&gt;0,Table16[[#This Row],[Total Ex-C Clubs]]&gt;0,Table16[[#This Row],[Total Intra-School Sports]]&gt;0,Table16[[#This Row],[Total Inter-School Sports]]&gt;0,Table16[[#This Row],[Community Clubs]]&gt;0),1,0)</f>
        <v>0</v>
      </c>
      <c r="Q57" s="22"/>
      <c r="R57" s="22"/>
      <c r="S57" s="22"/>
      <c r="T57" s="22"/>
      <c r="U57" s="22"/>
      <c r="V57" s="22"/>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21"/>
    </row>
    <row r="58" spans="1:218" x14ac:dyDescent="0.25">
      <c r="A58" s="22"/>
      <c r="B58" s="22"/>
      <c r="C58" s="22"/>
      <c r="D58" s="22"/>
      <c r="E58" s="22"/>
      <c r="F58" s="22"/>
      <c r="G58" s="22"/>
      <c r="H58" s="22"/>
      <c r="I58" s="22"/>
      <c r="J58" s="22"/>
      <c r="K58" s="17">
        <f>SUM(Table16[[#This Row],[Challenge 1]:[Challenge 50]])</f>
        <v>0</v>
      </c>
      <c r="L58" s="88">
        <f>SUM(Table16[[#This Row],[Club 1]:[Club 50]])</f>
        <v>0</v>
      </c>
      <c r="M58" s="88">
        <f>SUM(Table16[[#This Row],[Intra-school sports 1]:[Intra-school sports 50]])</f>
        <v>0</v>
      </c>
      <c r="N58" s="88">
        <f>SUM(Table16[[#This Row],[Inter School sports 1]:[Inter School sports 50]])</f>
        <v>0</v>
      </c>
      <c r="O58" s="17">
        <f>COUNTIF(Table16[[#This Row],[Community club (type name of club(s). All clubs will count as ''1'']],"*")</f>
        <v>0</v>
      </c>
      <c r="P58" s="17">
        <f>IF(OR(Table16[[#This Row],[Total Challenges]]&gt;0,Table16[[#This Row],[Total Ex-C Clubs]]&gt;0,Table16[[#This Row],[Total Intra-School Sports]]&gt;0,Table16[[#This Row],[Total Inter-School Sports]]&gt;0,Table16[[#This Row],[Community Clubs]]&gt;0),1,0)</f>
        <v>0</v>
      </c>
      <c r="Q58" s="22"/>
      <c r="R58" s="22"/>
      <c r="S58" s="22"/>
      <c r="T58" s="22"/>
      <c r="U58" s="22"/>
      <c r="V58" s="22"/>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21"/>
    </row>
    <row r="59" spans="1:218" x14ac:dyDescent="0.25">
      <c r="A59" s="22"/>
      <c r="B59" s="22"/>
      <c r="C59" s="22"/>
      <c r="D59" s="22"/>
      <c r="E59" s="22"/>
      <c r="F59" s="22"/>
      <c r="G59" s="22"/>
      <c r="H59" s="22"/>
      <c r="I59" s="22"/>
      <c r="J59" s="22"/>
      <c r="K59" s="17">
        <f>SUM(Table16[[#This Row],[Challenge 1]:[Challenge 50]])</f>
        <v>0</v>
      </c>
      <c r="L59" s="88">
        <f>SUM(Table16[[#This Row],[Club 1]:[Club 50]])</f>
        <v>0</v>
      </c>
      <c r="M59" s="88">
        <f>SUM(Table16[[#This Row],[Intra-school sports 1]:[Intra-school sports 50]])</f>
        <v>0</v>
      </c>
      <c r="N59" s="88">
        <f>SUM(Table16[[#This Row],[Inter School sports 1]:[Inter School sports 50]])</f>
        <v>0</v>
      </c>
      <c r="O59" s="17">
        <f>COUNTIF(Table16[[#This Row],[Community club (type name of club(s). All clubs will count as ''1'']],"*")</f>
        <v>0</v>
      </c>
      <c r="P59" s="17">
        <f>IF(OR(Table16[[#This Row],[Total Challenges]]&gt;0,Table16[[#This Row],[Total Ex-C Clubs]]&gt;0,Table16[[#This Row],[Total Intra-School Sports]]&gt;0,Table16[[#This Row],[Total Inter-School Sports]]&gt;0,Table16[[#This Row],[Community Clubs]]&gt;0),1,0)</f>
        <v>0</v>
      </c>
      <c r="Q59" s="22"/>
      <c r="R59" s="22"/>
      <c r="S59" s="22"/>
      <c r="T59" s="22"/>
      <c r="U59" s="22"/>
      <c r="V59" s="22"/>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21"/>
    </row>
    <row r="60" spans="1:218" x14ac:dyDescent="0.25">
      <c r="A60" s="22"/>
      <c r="B60" s="22"/>
      <c r="C60" s="22"/>
      <c r="D60" s="22"/>
      <c r="E60" s="22"/>
      <c r="F60" s="22"/>
      <c r="G60" s="22"/>
      <c r="H60" s="22"/>
      <c r="I60" s="22"/>
      <c r="J60" s="22"/>
      <c r="K60" s="17">
        <f>SUM(Table16[[#This Row],[Challenge 1]:[Challenge 50]])</f>
        <v>0</v>
      </c>
      <c r="L60" s="88">
        <f>SUM(Table16[[#This Row],[Club 1]:[Club 50]])</f>
        <v>0</v>
      </c>
      <c r="M60" s="88">
        <f>SUM(Table16[[#This Row],[Intra-school sports 1]:[Intra-school sports 50]])</f>
        <v>0</v>
      </c>
      <c r="N60" s="88">
        <f>SUM(Table16[[#This Row],[Inter School sports 1]:[Inter School sports 50]])</f>
        <v>0</v>
      </c>
      <c r="O60" s="17">
        <f>COUNTIF(Table16[[#This Row],[Community club (type name of club(s). All clubs will count as ''1'']],"*")</f>
        <v>0</v>
      </c>
      <c r="P60" s="17">
        <f>IF(OR(Table16[[#This Row],[Total Challenges]]&gt;0,Table16[[#This Row],[Total Ex-C Clubs]]&gt;0,Table16[[#This Row],[Total Intra-School Sports]]&gt;0,Table16[[#This Row],[Total Inter-School Sports]]&gt;0,Table16[[#This Row],[Community Clubs]]&gt;0),1,0)</f>
        <v>0</v>
      </c>
      <c r="Q60" s="22"/>
      <c r="R60" s="22"/>
      <c r="S60" s="22"/>
      <c r="T60" s="22"/>
      <c r="U60" s="22"/>
      <c r="V60" s="22"/>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21"/>
    </row>
    <row r="61" spans="1:218" x14ac:dyDescent="0.25">
      <c r="A61" s="22"/>
      <c r="B61" s="22"/>
      <c r="C61" s="22"/>
      <c r="D61" s="22"/>
      <c r="E61" s="22"/>
      <c r="F61" s="22"/>
      <c r="G61" s="22"/>
      <c r="H61" s="22"/>
      <c r="I61" s="22"/>
      <c r="J61" s="22"/>
      <c r="K61" s="17">
        <f>SUM(Table16[[#This Row],[Challenge 1]:[Challenge 50]])</f>
        <v>0</v>
      </c>
      <c r="L61" s="88">
        <f>SUM(Table16[[#This Row],[Club 1]:[Club 50]])</f>
        <v>0</v>
      </c>
      <c r="M61" s="88">
        <f>SUM(Table16[[#This Row],[Intra-school sports 1]:[Intra-school sports 50]])</f>
        <v>0</v>
      </c>
      <c r="N61" s="88">
        <f>SUM(Table16[[#This Row],[Inter School sports 1]:[Inter School sports 50]])</f>
        <v>0</v>
      </c>
      <c r="O61" s="17">
        <f>COUNTIF(Table16[[#This Row],[Community club (type name of club(s). All clubs will count as ''1'']],"*")</f>
        <v>0</v>
      </c>
      <c r="P61" s="17">
        <f>IF(OR(Table16[[#This Row],[Total Challenges]]&gt;0,Table16[[#This Row],[Total Ex-C Clubs]]&gt;0,Table16[[#This Row],[Total Intra-School Sports]]&gt;0,Table16[[#This Row],[Total Inter-School Sports]]&gt;0,Table16[[#This Row],[Community Clubs]]&gt;0),1,0)</f>
        <v>0</v>
      </c>
      <c r="Q61" s="22"/>
      <c r="R61" s="22"/>
      <c r="S61" s="22"/>
      <c r="T61" s="22"/>
      <c r="U61" s="22"/>
      <c r="V61" s="22"/>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21"/>
    </row>
    <row r="62" spans="1:218" x14ac:dyDescent="0.25">
      <c r="A62" s="22"/>
      <c r="B62" s="22"/>
      <c r="C62" s="22"/>
      <c r="D62" s="22"/>
      <c r="E62" s="22"/>
      <c r="F62" s="22"/>
      <c r="G62" s="22"/>
      <c r="H62" s="22"/>
      <c r="I62" s="22"/>
      <c r="J62" s="22"/>
      <c r="K62" s="17">
        <f>SUM(Table16[[#This Row],[Challenge 1]:[Challenge 50]])</f>
        <v>0</v>
      </c>
      <c r="L62" s="88">
        <f>SUM(Table16[[#This Row],[Club 1]:[Club 50]])</f>
        <v>0</v>
      </c>
      <c r="M62" s="88">
        <f>SUM(Table16[[#This Row],[Intra-school sports 1]:[Intra-school sports 50]])</f>
        <v>0</v>
      </c>
      <c r="N62" s="88">
        <f>SUM(Table16[[#This Row],[Inter School sports 1]:[Inter School sports 50]])</f>
        <v>0</v>
      </c>
      <c r="O62" s="17">
        <f>COUNTIF(Table16[[#This Row],[Community club (type name of club(s). All clubs will count as ''1'']],"*")</f>
        <v>0</v>
      </c>
      <c r="P62" s="17">
        <f>IF(OR(Table16[[#This Row],[Total Challenges]]&gt;0,Table16[[#This Row],[Total Ex-C Clubs]]&gt;0,Table16[[#This Row],[Total Intra-School Sports]]&gt;0,Table16[[#This Row],[Total Inter-School Sports]]&gt;0,Table16[[#This Row],[Community Clubs]]&gt;0),1,0)</f>
        <v>0</v>
      </c>
      <c r="Q62" s="22"/>
      <c r="R62" s="22"/>
      <c r="S62" s="22"/>
      <c r="T62" s="22"/>
      <c r="U62" s="22"/>
      <c r="V62" s="22"/>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21"/>
    </row>
    <row r="63" spans="1:218" x14ac:dyDescent="0.25">
      <c r="A63" s="22"/>
      <c r="B63" s="22"/>
      <c r="C63" s="22"/>
      <c r="D63" s="22"/>
      <c r="E63" s="22"/>
      <c r="F63" s="22"/>
      <c r="G63" s="22"/>
      <c r="H63" s="22"/>
      <c r="I63" s="22"/>
      <c r="J63" s="22"/>
      <c r="K63" s="17">
        <f>SUM(Table16[[#This Row],[Challenge 1]:[Challenge 50]])</f>
        <v>0</v>
      </c>
      <c r="L63" s="88">
        <f>SUM(Table16[[#This Row],[Club 1]:[Club 50]])</f>
        <v>0</v>
      </c>
      <c r="M63" s="88">
        <f>SUM(Table16[[#This Row],[Intra-school sports 1]:[Intra-school sports 50]])</f>
        <v>0</v>
      </c>
      <c r="N63" s="88">
        <f>SUM(Table16[[#This Row],[Inter School sports 1]:[Inter School sports 50]])</f>
        <v>0</v>
      </c>
      <c r="O63" s="17">
        <f>COUNTIF(Table16[[#This Row],[Community club (type name of club(s). All clubs will count as ''1'']],"*")</f>
        <v>0</v>
      </c>
      <c r="P63" s="17">
        <f>IF(OR(Table16[[#This Row],[Total Challenges]]&gt;0,Table16[[#This Row],[Total Ex-C Clubs]]&gt;0,Table16[[#This Row],[Total Intra-School Sports]]&gt;0,Table16[[#This Row],[Total Inter-School Sports]]&gt;0,Table16[[#This Row],[Community Clubs]]&gt;0),1,0)</f>
        <v>0</v>
      </c>
      <c r="Q63" s="22"/>
      <c r="R63" s="22"/>
      <c r="S63" s="22"/>
      <c r="T63" s="22"/>
      <c r="U63" s="22"/>
      <c r="V63" s="22"/>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21"/>
    </row>
    <row r="64" spans="1:218" x14ac:dyDescent="0.25">
      <c r="A64" s="22"/>
      <c r="B64" s="22"/>
      <c r="C64" s="22"/>
      <c r="D64" s="22"/>
      <c r="E64" s="22"/>
      <c r="F64" s="22"/>
      <c r="G64" s="22"/>
      <c r="H64" s="22"/>
      <c r="I64" s="22"/>
      <c r="J64" s="22"/>
      <c r="K64" s="17">
        <f>SUM(Table16[[#This Row],[Challenge 1]:[Challenge 50]])</f>
        <v>0</v>
      </c>
      <c r="L64" s="88">
        <f>SUM(Table16[[#This Row],[Club 1]:[Club 50]])</f>
        <v>0</v>
      </c>
      <c r="M64" s="88">
        <f>SUM(Table16[[#This Row],[Intra-school sports 1]:[Intra-school sports 50]])</f>
        <v>0</v>
      </c>
      <c r="N64" s="88">
        <f>SUM(Table16[[#This Row],[Inter School sports 1]:[Inter School sports 50]])</f>
        <v>0</v>
      </c>
      <c r="O64" s="17">
        <f>COUNTIF(Table16[[#This Row],[Community club (type name of club(s). All clubs will count as ''1'']],"*")</f>
        <v>0</v>
      </c>
      <c r="P64" s="17">
        <f>IF(OR(Table16[[#This Row],[Total Challenges]]&gt;0,Table16[[#This Row],[Total Ex-C Clubs]]&gt;0,Table16[[#This Row],[Total Intra-School Sports]]&gt;0,Table16[[#This Row],[Total Inter-School Sports]]&gt;0,Table16[[#This Row],[Community Clubs]]&gt;0),1,0)</f>
        <v>0</v>
      </c>
      <c r="Q64" s="22"/>
      <c r="R64" s="22"/>
      <c r="S64" s="22"/>
      <c r="T64" s="22"/>
      <c r="U64" s="22"/>
      <c r="V64" s="22"/>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21"/>
    </row>
    <row r="65" spans="1:218" x14ac:dyDescent="0.25">
      <c r="A65" s="22"/>
      <c r="B65" s="22"/>
      <c r="C65" s="22"/>
      <c r="D65" s="22"/>
      <c r="E65" s="22"/>
      <c r="F65" s="22"/>
      <c r="G65" s="22"/>
      <c r="H65" s="22"/>
      <c r="I65" s="22"/>
      <c r="J65" s="22"/>
      <c r="K65" s="17">
        <f>SUM(Table16[[#This Row],[Challenge 1]:[Challenge 50]])</f>
        <v>0</v>
      </c>
      <c r="L65" s="88">
        <f>SUM(Table16[[#This Row],[Club 1]:[Club 50]])</f>
        <v>0</v>
      </c>
      <c r="M65" s="88">
        <f>SUM(Table16[[#This Row],[Intra-school sports 1]:[Intra-school sports 50]])</f>
        <v>0</v>
      </c>
      <c r="N65" s="88">
        <f>SUM(Table16[[#This Row],[Inter School sports 1]:[Inter School sports 50]])</f>
        <v>0</v>
      </c>
      <c r="O65" s="17">
        <f>COUNTIF(Table16[[#This Row],[Community club (type name of club(s). All clubs will count as ''1'']],"*")</f>
        <v>0</v>
      </c>
      <c r="P65" s="17">
        <f>IF(OR(Table16[[#This Row],[Total Challenges]]&gt;0,Table16[[#This Row],[Total Ex-C Clubs]]&gt;0,Table16[[#This Row],[Total Intra-School Sports]]&gt;0,Table16[[#This Row],[Total Inter-School Sports]]&gt;0,Table16[[#This Row],[Community Clubs]]&gt;0),1,0)</f>
        <v>0</v>
      </c>
      <c r="Q65" s="22"/>
      <c r="R65" s="22"/>
      <c r="S65" s="22"/>
      <c r="T65" s="22"/>
      <c r="U65" s="22"/>
      <c r="V65" s="22"/>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21"/>
    </row>
    <row r="66" spans="1:218" x14ac:dyDescent="0.25">
      <c r="A66" s="22"/>
      <c r="B66" s="22"/>
      <c r="C66" s="22"/>
      <c r="D66" s="22"/>
      <c r="E66" s="22"/>
      <c r="F66" s="22"/>
      <c r="G66" s="22"/>
      <c r="H66" s="22"/>
      <c r="I66" s="22"/>
      <c r="J66" s="22"/>
      <c r="K66" s="17">
        <f>SUM(Table16[[#This Row],[Challenge 1]:[Challenge 50]])</f>
        <v>0</v>
      </c>
      <c r="L66" s="88">
        <f>SUM(Table16[[#This Row],[Club 1]:[Club 50]])</f>
        <v>0</v>
      </c>
      <c r="M66" s="88">
        <f>SUM(Table16[[#This Row],[Intra-school sports 1]:[Intra-school sports 50]])</f>
        <v>0</v>
      </c>
      <c r="N66" s="88">
        <f>SUM(Table16[[#This Row],[Inter School sports 1]:[Inter School sports 50]])</f>
        <v>0</v>
      </c>
      <c r="O66" s="17">
        <f>COUNTIF(Table16[[#This Row],[Community club (type name of club(s). All clubs will count as ''1'']],"*")</f>
        <v>0</v>
      </c>
      <c r="P66" s="17">
        <f>IF(OR(Table16[[#This Row],[Total Challenges]]&gt;0,Table16[[#This Row],[Total Ex-C Clubs]]&gt;0,Table16[[#This Row],[Total Intra-School Sports]]&gt;0,Table16[[#This Row],[Total Inter-School Sports]]&gt;0,Table16[[#This Row],[Community Clubs]]&gt;0),1,0)</f>
        <v>0</v>
      </c>
      <c r="Q66" s="22"/>
      <c r="R66" s="22"/>
      <c r="S66" s="22"/>
      <c r="T66" s="22"/>
      <c r="U66" s="22"/>
      <c r="V66" s="22"/>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21"/>
    </row>
    <row r="67" spans="1:218" x14ac:dyDescent="0.25">
      <c r="A67" s="22"/>
      <c r="B67" s="22"/>
      <c r="C67" s="22"/>
      <c r="D67" s="22"/>
      <c r="E67" s="22"/>
      <c r="F67" s="22"/>
      <c r="G67" s="22"/>
      <c r="H67" s="22"/>
      <c r="I67" s="22"/>
      <c r="J67" s="22"/>
      <c r="K67" s="17">
        <f>SUM(Table16[[#This Row],[Challenge 1]:[Challenge 50]])</f>
        <v>0</v>
      </c>
      <c r="L67" s="88">
        <f>SUM(Table16[[#This Row],[Club 1]:[Club 50]])</f>
        <v>0</v>
      </c>
      <c r="M67" s="88">
        <f>SUM(Table16[[#This Row],[Intra-school sports 1]:[Intra-school sports 50]])</f>
        <v>0</v>
      </c>
      <c r="N67" s="88">
        <f>SUM(Table16[[#This Row],[Inter School sports 1]:[Inter School sports 50]])</f>
        <v>0</v>
      </c>
      <c r="O67" s="17">
        <f>COUNTIF(Table16[[#This Row],[Community club (type name of club(s). All clubs will count as ''1'']],"*")</f>
        <v>0</v>
      </c>
      <c r="P67" s="17">
        <f>IF(OR(Table16[[#This Row],[Total Challenges]]&gt;0,Table16[[#This Row],[Total Ex-C Clubs]]&gt;0,Table16[[#This Row],[Total Intra-School Sports]]&gt;0,Table16[[#This Row],[Total Inter-School Sports]]&gt;0,Table16[[#This Row],[Community Clubs]]&gt;0),1,0)</f>
        <v>0</v>
      </c>
      <c r="Q67" s="22"/>
      <c r="R67" s="22"/>
      <c r="S67" s="22"/>
      <c r="T67" s="22"/>
      <c r="U67" s="22"/>
      <c r="V67" s="22"/>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21"/>
    </row>
    <row r="68" spans="1:218" x14ac:dyDescent="0.25">
      <c r="A68" s="22"/>
      <c r="B68" s="22"/>
      <c r="C68" s="22"/>
      <c r="D68" s="22"/>
      <c r="E68" s="22"/>
      <c r="F68" s="22"/>
      <c r="G68" s="22"/>
      <c r="H68" s="22"/>
      <c r="I68" s="22"/>
      <c r="J68" s="22"/>
      <c r="K68" s="17">
        <f>SUM(Table16[[#This Row],[Challenge 1]:[Challenge 50]])</f>
        <v>0</v>
      </c>
      <c r="L68" s="88">
        <f>SUM(Table16[[#This Row],[Club 1]:[Club 50]])</f>
        <v>0</v>
      </c>
      <c r="M68" s="88">
        <f>SUM(Table16[[#This Row],[Intra-school sports 1]:[Intra-school sports 50]])</f>
        <v>0</v>
      </c>
      <c r="N68" s="88">
        <f>SUM(Table16[[#This Row],[Inter School sports 1]:[Inter School sports 50]])</f>
        <v>0</v>
      </c>
      <c r="O68" s="17">
        <f>COUNTIF(Table16[[#This Row],[Community club (type name of club(s). All clubs will count as ''1'']],"*")</f>
        <v>0</v>
      </c>
      <c r="P68" s="17">
        <f>IF(OR(Table16[[#This Row],[Total Challenges]]&gt;0,Table16[[#This Row],[Total Ex-C Clubs]]&gt;0,Table16[[#This Row],[Total Intra-School Sports]]&gt;0,Table16[[#This Row],[Total Inter-School Sports]]&gt;0,Table16[[#This Row],[Community Clubs]]&gt;0),1,0)</f>
        <v>0</v>
      </c>
      <c r="Q68" s="22"/>
      <c r="R68" s="22"/>
      <c r="S68" s="22"/>
      <c r="T68" s="22"/>
      <c r="U68" s="22"/>
      <c r="V68" s="22"/>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21"/>
    </row>
    <row r="69" spans="1:218" x14ac:dyDescent="0.25">
      <c r="A69" s="22"/>
      <c r="B69" s="22"/>
      <c r="C69" s="22"/>
      <c r="D69" s="22"/>
      <c r="E69" s="22"/>
      <c r="F69" s="22"/>
      <c r="G69" s="22"/>
      <c r="H69" s="22"/>
      <c r="I69" s="22"/>
      <c r="J69" s="22"/>
      <c r="K69" s="17">
        <f>SUM(Table16[[#This Row],[Challenge 1]:[Challenge 50]])</f>
        <v>0</v>
      </c>
      <c r="L69" s="88">
        <f>SUM(Table16[[#This Row],[Club 1]:[Club 50]])</f>
        <v>0</v>
      </c>
      <c r="M69" s="88">
        <f>SUM(Table16[[#This Row],[Intra-school sports 1]:[Intra-school sports 50]])</f>
        <v>0</v>
      </c>
      <c r="N69" s="88">
        <f>SUM(Table16[[#This Row],[Inter School sports 1]:[Inter School sports 50]])</f>
        <v>0</v>
      </c>
      <c r="O69" s="17">
        <f>COUNTIF(Table16[[#This Row],[Community club (type name of club(s). All clubs will count as ''1'']],"*")</f>
        <v>0</v>
      </c>
      <c r="P69" s="17">
        <f>IF(OR(Table16[[#This Row],[Total Challenges]]&gt;0,Table16[[#This Row],[Total Ex-C Clubs]]&gt;0,Table16[[#This Row],[Total Intra-School Sports]]&gt;0,Table16[[#This Row],[Total Inter-School Sports]]&gt;0,Table16[[#This Row],[Community Clubs]]&gt;0),1,0)</f>
        <v>0</v>
      </c>
      <c r="Q69" s="22"/>
      <c r="R69" s="22"/>
      <c r="S69" s="22"/>
      <c r="T69" s="22"/>
      <c r="U69" s="22"/>
      <c r="V69" s="22"/>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21"/>
    </row>
    <row r="70" spans="1:218" x14ac:dyDescent="0.25">
      <c r="A70" s="22"/>
      <c r="B70" s="22"/>
      <c r="C70" s="22"/>
      <c r="D70" s="22"/>
      <c r="E70" s="22"/>
      <c r="F70" s="22"/>
      <c r="G70" s="22"/>
      <c r="H70" s="22"/>
      <c r="I70" s="22"/>
      <c r="J70" s="22"/>
      <c r="K70" s="17">
        <f>SUM(Table16[[#This Row],[Challenge 1]:[Challenge 50]])</f>
        <v>0</v>
      </c>
      <c r="L70" s="88">
        <f>SUM(Table16[[#This Row],[Club 1]:[Club 50]])</f>
        <v>0</v>
      </c>
      <c r="M70" s="88">
        <f>SUM(Table16[[#This Row],[Intra-school sports 1]:[Intra-school sports 50]])</f>
        <v>0</v>
      </c>
      <c r="N70" s="88">
        <f>SUM(Table16[[#This Row],[Inter School sports 1]:[Inter School sports 50]])</f>
        <v>0</v>
      </c>
      <c r="O70" s="17">
        <f>COUNTIF(Table16[[#This Row],[Community club (type name of club(s). All clubs will count as ''1'']],"*")</f>
        <v>0</v>
      </c>
      <c r="P70" s="17">
        <f>IF(OR(Table16[[#This Row],[Total Challenges]]&gt;0,Table16[[#This Row],[Total Ex-C Clubs]]&gt;0,Table16[[#This Row],[Total Intra-School Sports]]&gt;0,Table16[[#This Row],[Total Inter-School Sports]]&gt;0,Table16[[#This Row],[Community Clubs]]&gt;0),1,0)</f>
        <v>0</v>
      </c>
      <c r="Q70" s="22"/>
      <c r="R70" s="22"/>
      <c r="S70" s="22"/>
      <c r="T70" s="22"/>
      <c r="U70" s="22"/>
      <c r="V70" s="22"/>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21"/>
    </row>
    <row r="71" spans="1:218" x14ac:dyDescent="0.25">
      <c r="A71" s="22"/>
      <c r="B71" s="22"/>
      <c r="C71" s="22"/>
      <c r="D71" s="22"/>
      <c r="E71" s="22"/>
      <c r="F71" s="22"/>
      <c r="G71" s="22"/>
      <c r="H71" s="22"/>
      <c r="I71" s="22"/>
      <c r="J71" s="22"/>
      <c r="K71" s="17">
        <f>SUM(Table16[[#This Row],[Challenge 1]:[Challenge 50]])</f>
        <v>0</v>
      </c>
      <c r="L71" s="88">
        <f>SUM(Table16[[#This Row],[Club 1]:[Club 50]])</f>
        <v>0</v>
      </c>
      <c r="M71" s="88">
        <f>SUM(Table16[[#This Row],[Intra-school sports 1]:[Intra-school sports 50]])</f>
        <v>0</v>
      </c>
      <c r="N71" s="88">
        <f>SUM(Table16[[#This Row],[Inter School sports 1]:[Inter School sports 50]])</f>
        <v>0</v>
      </c>
      <c r="O71" s="17">
        <f>COUNTIF(Table16[[#This Row],[Community club (type name of club(s). All clubs will count as ''1'']],"*")</f>
        <v>0</v>
      </c>
      <c r="P71" s="17">
        <f>IF(OR(Table16[[#This Row],[Total Challenges]]&gt;0,Table16[[#This Row],[Total Ex-C Clubs]]&gt;0,Table16[[#This Row],[Total Intra-School Sports]]&gt;0,Table16[[#This Row],[Total Inter-School Sports]]&gt;0,Table16[[#This Row],[Community Clubs]]&gt;0),1,0)</f>
        <v>0</v>
      </c>
      <c r="Q71" s="22"/>
      <c r="R71" s="22"/>
      <c r="S71" s="22"/>
      <c r="T71" s="22"/>
      <c r="U71" s="22"/>
      <c r="V71" s="22"/>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21"/>
    </row>
    <row r="72" spans="1:218" x14ac:dyDescent="0.25">
      <c r="A72" s="22"/>
      <c r="B72" s="22"/>
      <c r="C72" s="22"/>
      <c r="D72" s="22"/>
      <c r="E72" s="22"/>
      <c r="F72" s="22"/>
      <c r="G72" s="22"/>
      <c r="H72" s="22"/>
      <c r="I72" s="22"/>
      <c r="J72" s="22"/>
      <c r="K72" s="17">
        <f>SUM(Table16[[#This Row],[Challenge 1]:[Challenge 50]])</f>
        <v>0</v>
      </c>
      <c r="L72" s="88">
        <f>SUM(Table16[[#This Row],[Club 1]:[Club 50]])</f>
        <v>0</v>
      </c>
      <c r="M72" s="88">
        <f>SUM(Table16[[#This Row],[Intra-school sports 1]:[Intra-school sports 50]])</f>
        <v>0</v>
      </c>
      <c r="N72" s="88">
        <f>SUM(Table16[[#This Row],[Inter School sports 1]:[Inter School sports 50]])</f>
        <v>0</v>
      </c>
      <c r="O72" s="17">
        <f>COUNTIF(Table16[[#This Row],[Community club (type name of club(s). All clubs will count as ''1'']],"*")</f>
        <v>0</v>
      </c>
      <c r="P72" s="17">
        <f>IF(OR(Table16[[#This Row],[Total Challenges]]&gt;0,Table16[[#This Row],[Total Ex-C Clubs]]&gt;0,Table16[[#This Row],[Total Intra-School Sports]]&gt;0,Table16[[#This Row],[Total Inter-School Sports]]&gt;0,Table16[[#This Row],[Community Clubs]]&gt;0),1,0)</f>
        <v>0</v>
      </c>
      <c r="Q72" s="22"/>
      <c r="R72" s="22"/>
      <c r="S72" s="22"/>
      <c r="T72" s="22"/>
      <c r="U72" s="22"/>
      <c r="V72" s="22"/>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21"/>
    </row>
    <row r="73" spans="1:218" x14ac:dyDescent="0.25">
      <c r="A73" s="22"/>
      <c r="B73" s="22"/>
      <c r="C73" s="22"/>
      <c r="D73" s="22"/>
      <c r="E73" s="22"/>
      <c r="F73" s="22"/>
      <c r="G73" s="22"/>
      <c r="H73" s="22"/>
      <c r="I73" s="22"/>
      <c r="J73" s="22"/>
      <c r="K73" s="17">
        <f>SUM(Table16[[#This Row],[Challenge 1]:[Challenge 50]])</f>
        <v>0</v>
      </c>
      <c r="L73" s="88">
        <f>SUM(Table16[[#This Row],[Club 1]:[Club 50]])</f>
        <v>0</v>
      </c>
      <c r="M73" s="88">
        <f>SUM(Table16[[#This Row],[Intra-school sports 1]:[Intra-school sports 50]])</f>
        <v>0</v>
      </c>
      <c r="N73" s="88">
        <f>SUM(Table16[[#This Row],[Inter School sports 1]:[Inter School sports 50]])</f>
        <v>0</v>
      </c>
      <c r="O73" s="17">
        <f>COUNTIF(Table16[[#This Row],[Community club (type name of club(s). All clubs will count as ''1'']],"*")</f>
        <v>0</v>
      </c>
      <c r="P73" s="17">
        <f>IF(OR(Table16[[#This Row],[Total Challenges]]&gt;0,Table16[[#This Row],[Total Ex-C Clubs]]&gt;0,Table16[[#This Row],[Total Intra-School Sports]]&gt;0,Table16[[#This Row],[Total Inter-School Sports]]&gt;0,Table16[[#This Row],[Community Clubs]]&gt;0),1,0)</f>
        <v>0</v>
      </c>
      <c r="Q73" s="22"/>
      <c r="R73" s="22"/>
      <c r="S73" s="22"/>
      <c r="T73" s="22"/>
      <c r="U73" s="22"/>
      <c r="V73" s="22"/>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21"/>
    </row>
    <row r="74" spans="1:218" x14ac:dyDescent="0.25">
      <c r="A74" s="22"/>
      <c r="B74" s="22"/>
      <c r="C74" s="22"/>
      <c r="D74" s="22"/>
      <c r="E74" s="22"/>
      <c r="F74" s="22"/>
      <c r="G74" s="22"/>
      <c r="H74" s="22"/>
      <c r="I74" s="22"/>
      <c r="J74" s="22"/>
      <c r="K74" s="17">
        <f>SUM(Table16[[#This Row],[Challenge 1]:[Challenge 50]])</f>
        <v>0</v>
      </c>
      <c r="L74" s="88">
        <f>SUM(Table16[[#This Row],[Club 1]:[Club 50]])</f>
        <v>0</v>
      </c>
      <c r="M74" s="88">
        <f>SUM(Table16[[#This Row],[Intra-school sports 1]:[Intra-school sports 50]])</f>
        <v>0</v>
      </c>
      <c r="N74" s="88">
        <f>SUM(Table16[[#This Row],[Inter School sports 1]:[Inter School sports 50]])</f>
        <v>0</v>
      </c>
      <c r="O74" s="17">
        <f>COUNTIF(Table16[[#This Row],[Community club (type name of club(s). All clubs will count as ''1'']],"*")</f>
        <v>0</v>
      </c>
      <c r="P74" s="17">
        <f>IF(OR(Table16[[#This Row],[Total Challenges]]&gt;0,Table16[[#This Row],[Total Ex-C Clubs]]&gt;0,Table16[[#This Row],[Total Intra-School Sports]]&gt;0,Table16[[#This Row],[Total Inter-School Sports]]&gt;0,Table16[[#This Row],[Community Clubs]]&gt;0),1,0)</f>
        <v>0</v>
      </c>
      <c r="Q74" s="22"/>
      <c r="R74" s="22"/>
      <c r="S74" s="22"/>
      <c r="T74" s="22"/>
      <c r="U74" s="22"/>
      <c r="V74" s="22"/>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21"/>
    </row>
    <row r="75" spans="1:218" x14ac:dyDescent="0.25">
      <c r="A75" s="22"/>
      <c r="B75" s="22"/>
      <c r="C75" s="22"/>
      <c r="D75" s="22"/>
      <c r="E75" s="22"/>
      <c r="F75" s="22"/>
      <c r="G75" s="22"/>
      <c r="H75" s="22"/>
      <c r="I75" s="22"/>
      <c r="J75" s="22"/>
      <c r="K75" s="17">
        <f>SUM(Table16[[#This Row],[Challenge 1]:[Challenge 50]])</f>
        <v>0</v>
      </c>
      <c r="L75" s="88">
        <f>SUM(Table16[[#This Row],[Club 1]:[Club 50]])</f>
        <v>0</v>
      </c>
      <c r="M75" s="88">
        <f>SUM(Table16[[#This Row],[Intra-school sports 1]:[Intra-school sports 50]])</f>
        <v>0</v>
      </c>
      <c r="N75" s="88">
        <f>SUM(Table16[[#This Row],[Inter School sports 1]:[Inter School sports 50]])</f>
        <v>0</v>
      </c>
      <c r="O75" s="17">
        <f>COUNTIF(Table16[[#This Row],[Community club (type name of club(s). All clubs will count as ''1'']],"*")</f>
        <v>0</v>
      </c>
      <c r="P75" s="17">
        <f>IF(OR(Table16[[#This Row],[Total Challenges]]&gt;0,Table16[[#This Row],[Total Ex-C Clubs]]&gt;0,Table16[[#This Row],[Total Intra-School Sports]]&gt;0,Table16[[#This Row],[Total Inter-School Sports]]&gt;0,Table16[[#This Row],[Community Clubs]]&gt;0),1,0)</f>
        <v>0</v>
      </c>
      <c r="Q75" s="22"/>
      <c r="R75" s="22"/>
      <c r="S75" s="22"/>
      <c r="T75" s="22"/>
      <c r="U75" s="22"/>
      <c r="V75" s="22"/>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21"/>
    </row>
    <row r="76" spans="1:218" x14ac:dyDescent="0.25">
      <c r="A76" s="22"/>
      <c r="B76" s="22"/>
      <c r="C76" s="22"/>
      <c r="D76" s="22"/>
      <c r="E76" s="22"/>
      <c r="F76" s="22"/>
      <c r="G76" s="22"/>
      <c r="H76" s="22"/>
      <c r="I76" s="22"/>
      <c r="J76" s="22"/>
      <c r="K76" s="17">
        <f>SUM(Table16[[#This Row],[Challenge 1]:[Challenge 50]])</f>
        <v>0</v>
      </c>
      <c r="L76" s="88">
        <f>SUM(Table16[[#This Row],[Club 1]:[Club 50]])</f>
        <v>0</v>
      </c>
      <c r="M76" s="88">
        <f>SUM(Table16[[#This Row],[Intra-school sports 1]:[Intra-school sports 50]])</f>
        <v>0</v>
      </c>
      <c r="N76" s="88">
        <f>SUM(Table16[[#This Row],[Inter School sports 1]:[Inter School sports 50]])</f>
        <v>0</v>
      </c>
      <c r="O76" s="17">
        <f>COUNTIF(Table16[[#This Row],[Community club (type name of club(s). All clubs will count as ''1'']],"*")</f>
        <v>0</v>
      </c>
      <c r="P76" s="17">
        <f>IF(OR(Table16[[#This Row],[Total Challenges]]&gt;0,Table16[[#This Row],[Total Ex-C Clubs]]&gt;0,Table16[[#This Row],[Total Intra-School Sports]]&gt;0,Table16[[#This Row],[Total Inter-School Sports]]&gt;0,Table16[[#This Row],[Community Clubs]]&gt;0),1,0)</f>
        <v>0</v>
      </c>
      <c r="Q76" s="22"/>
      <c r="R76" s="22"/>
      <c r="S76" s="22"/>
      <c r="T76" s="22"/>
      <c r="U76" s="22"/>
      <c r="V76" s="22"/>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21"/>
    </row>
    <row r="77" spans="1:218" x14ac:dyDescent="0.25">
      <c r="A77" s="22"/>
      <c r="B77" s="22"/>
      <c r="C77" s="22"/>
      <c r="D77" s="22"/>
      <c r="E77" s="22"/>
      <c r="F77" s="22"/>
      <c r="G77" s="22"/>
      <c r="H77" s="22"/>
      <c r="I77" s="22"/>
      <c r="J77" s="22"/>
      <c r="K77" s="17">
        <f>SUM(Table16[[#This Row],[Challenge 1]:[Challenge 50]])</f>
        <v>0</v>
      </c>
      <c r="L77" s="88">
        <f>SUM(Table16[[#This Row],[Club 1]:[Club 50]])</f>
        <v>0</v>
      </c>
      <c r="M77" s="88">
        <f>SUM(Table16[[#This Row],[Intra-school sports 1]:[Intra-school sports 50]])</f>
        <v>0</v>
      </c>
      <c r="N77" s="88">
        <f>SUM(Table16[[#This Row],[Inter School sports 1]:[Inter School sports 50]])</f>
        <v>0</v>
      </c>
      <c r="O77" s="17">
        <f>COUNTIF(Table16[[#This Row],[Community club (type name of club(s). All clubs will count as ''1'']],"*")</f>
        <v>0</v>
      </c>
      <c r="P77" s="17">
        <f>IF(OR(Table16[[#This Row],[Total Challenges]]&gt;0,Table16[[#This Row],[Total Ex-C Clubs]]&gt;0,Table16[[#This Row],[Total Intra-School Sports]]&gt;0,Table16[[#This Row],[Total Inter-School Sports]]&gt;0,Table16[[#This Row],[Community Clubs]]&gt;0),1,0)</f>
        <v>0</v>
      </c>
      <c r="Q77" s="22"/>
      <c r="R77" s="22"/>
      <c r="S77" s="22"/>
      <c r="T77" s="22"/>
      <c r="U77" s="22"/>
      <c r="V77" s="22"/>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21"/>
    </row>
    <row r="78" spans="1:218" x14ac:dyDescent="0.25">
      <c r="A78" s="22"/>
      <c r="B78" s="22"/>
      <c r="C78" s="22"/>
      <c r="D78" s="22"/>
      <c r="E78" s="22"/>
      <c r="F78" s="22"/>
      <c r="G78" s="22"/>
      <c r="H78" s="22"/>
      <c r="I78" s="22"/>
      <c r="J78" s="22"/>
      <c r="K78" s="17">
        <f>SUM(Table16[[#This Row],[Challenge 1]:[Challenge 50]])</f>
        <v>0</v>
      </c>
      <c r="L78" s="88">
        <f>SUM(Table16[[#This Row],[Club 1]:[Club 50]])</f>
        <v>0</v>
      </c>
      <c r="M78" s="88">
        <f>SUM(Table16[[#This Row],[Intra-school sports 1]:[Intra-school sports 50]])</f>
        <v>0</v>
      </c>
      <c r="N78" s="88">
        <f>SUM(Table16[[#This Row],[Inter School sports 1]:[Inter School sports 50]])</f>
        <v>0</v>
      </c>
      <c r="O78" s="17">
        <f>COUNTIF(Table16[[#This Row],[Community club (type name of club(s). All clubs will count as ''1'']],"*")</f>
        <v>0</v>
      </c>
      <c r="P78" s="17">
        <f>IF(OR(Table16[[#This Row],[Total Challenges]]&gt;0,Table16[[#This Row],[Total Ex-C Clubs]]&gt;0,Table16[[#This Row],[Total Intra-School Sports]]&gt;0,Table16[[#This Row],[Total Inter-School Sports]]&gt;0,Table16[[#This Row],[Community Clubs]]&gt;0),1,0)</f>
        <v>0</v>
      </c>
      <c r="Q78" s="22"/>
      <c r="R78" s="22"/>
      <c r="S78" s="22"/>
      <c r="T78" s="22"/>
      <c r="U78" s="22"/>
      <c r="V78" s="22"/>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21"/>
    </row>
    <row r="79" spans="1:218" x14ac:dyDescent="0.25">
      <c r="A79" s="22"/>
      <c r="B79" s="22"/>
      <c r="C79" s="22"/>
      <c r="D79" s="22"/>
      <c r="E79" s="22"/>
      <c r="F79" s="22"/>
      <c r="G79" s="22"/>
      <c r="H79" s="22"/>
      <c r="I79" s="22"/>
      <c r="J79" s="22"/>
      <c r="K79" s="17">
        <f>SUM(Table16[[#This Row],[Challenge 1]:[Challenge 50]])</f>
        <v>0</v>
      </c>
      <c r="L79" s="88">
        <f>SUM(Table16[[#This Row],[Club 1]:[Club 50]])</f>
        <v>0</v>
      </c>
      <c r="M79" s="88">
        <f>SUM(Table16[[#This Row],[Intra-school sports 1]:[Intra-school sports 50]])</f>
        <v>0</v>
      </c>
      <c r="N79" s="88">
        <f>SUM(Table16[[#This Row],[Inter School sports 1]:[Inter School sports 50]])</f>
        <v>0</v>
      </c>
      <c r="O79" s="17">
        <f>COUNTIF(Table16[[#This Row],[Community club (type name of club(s). All clubs will count as ''1'']],"*")</f>
        <v>0</v>
      </c>
      <c r="P79" s="17">
        <f>IF(OR(Table16[[#This Row],[Total Challenges]]&gt;0,Table16[[#This Row],[Total Ex-C Clubs]]&gt;0,Table16[[#This Row],[Total Intra-School Sports]]&gt;0,Table16[[#This Row],[Total Inter-School Sports]]&gt;0,Table16[[#This Row],[Community Clubs]]&gt;0),1,0)</f>
        <v>0</v>
      </c>
      <c r="Q79" s="22"/>
      <c r="R79" s="22"/>
      <c r="S79" s="22"/>
      <c r="T79" s="22"/>
      <c r="U79" s="22"/>
      <c r="V79" s="22"/>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21"/>
    </row>
    <row r="80" spans="1:218" x14ac:dyDescent="0.25">
      <c r="A80" s="22"/>
      <c r="B80" s="22"/>
      <c r="C80" s="22"/>
      <c r="D80" s="22"/>
      <c r="E80" s="22"/>
      <c r="F80" s="22"/>
      <c r="G80" s="22"/>
      <c r="H80" s="22"/>
      <c r="I80" s="22"/>
      <c r="J80" s="22"/>
      <c r="K80" s="17">
        <f>SUM(Table16[[#This Row],[Challenge 1]:[Challenge 50]])</f>
        <v>0</v>
      </c>
      <c r="L80" s="88">
        <f>SUM(Table16[[#This Row],[Club 1]:[Club 50]])</f>
        <v>0</v>
      </c>
      <c r="M80" s="88">
        <f>SUM(Table16[[#This Row],[Intra-school sports 1]:[Intra-school sports 50]])</f>
        <v>0</v>
      </c>
      <c r="N80" s="88">
        <f>SUM(Table16[[#This Row],[Inter School sports 1]:[Inter School sports 50]])</f>
        <v>0</v>
      </c>
      <c r="O80" s="17">
        <f>COUNTIF(Table16[[#This Row],[Community club (type name of club(s). All clubs will count as ''1'']],"*")</f>
        <v>0</v>
      </c>
      <c r="P80" s="17">
        <f>IF(OR(Table16[[#This Row],[Total Challenges]]&gt;0,Table16[[#This Row],[Total Ex-C Clubs]]&gt;0,Table16[[#This Row],[Total Intra-School Sports]]&gt;0,Table16[[#This Row],[Total Inter-School Sports]]&gt;0,Table16[[#This Row],[Community Clubs]]&gt;0),1,0)</f>
        <v>0</v>
      </c>
      <c r="Q80" s="22"/>
      <c r="R80" s="22"/>
      <c r="S80" s="22"/>
      <c r="T80" s="22"/>
      <c r="U80" s="22"/>
      <c r="V80" s="22"/>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21"/>
    </row>
    <row r="81" spans="1:218" x14ac:dyDescent="0.25">
      <c r="A81" s="22"/>
      <c r="B81" s="22"/>
      <c r="C81" s="22"/>
      <c r="D81" s="22"/>
      <c r="E81" s="22"/>
      <c r="F81" s="22"/>
      <c r="G81" s="22"/>
      <c r="H81" s="22"/>
      <c r="I81" s="22"/>
      <c r="J81" s="22"/>
      <c r="K81" s="17">
        <f>SUM(Table16[[#This Row],[Challenge 1]:[Challenge 50]])</f>
        <v>0</v>
      </c>
      <c r="L81" s="88">
        <f>SUM(Table16[[#This Row],[Club 1]:[Club 50]])</f>
        <v>0</v>
      </c>
      <c r="M81" s="88">
        <f>SUM(Table16[[#This Row],[Intra-school sports 1]:[Intra-school sports 50]])</f>
        <v>0</v>
      </c>
      <c r="N81" s="88">
        <f>SUM(Table16[[#This Row],[Inter School sports 1]:[Inter School sports 50]])</f>
        <v>0</v>
      </c>
      <c r="O81" s="17">
        <f>COUNTIF(Table16[[#This Row],[Community club (type name of club(s). All clubs will count as ''1'']],"*")</f>
        <v>0</v>
      </c>
      <c r="P81" s="17">
        <f>IF(OR(Table16[[#This Row],[Total Challenges]]&gt;0,Table16[[#This Row],[Total Ex-C Clubs]]&gt;0,Table16[[#This Row],[Total Intra-School Sports]]&gt;0,Table16[[#This Row],[Total Inter-School Sports]]&gt;0,Table16[[#This Row],[Community Clubs]]&gt;0),1,0)</f>
        <v>0</v>
      </c>
      <c r="Q81" s="22"/>
      <c r="R81" s="22"/>
      <c r="S81" s="22"/>
      <c r="T81" s="22"/>
      <c r="U81" s="22"/>
      <c r="V81" s="22"/>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21"/>
    </row>
    <row r="82" spans="1:218" x14ac:dyDescent="0.25">
      <c r="A82" s="22"/>
      <c r="B82" s="22"/>
      <c r="C82" s="22"/>
      <c r="D82" s="22"/>
      <c r="E82" s="22"/>
      <c r="F82" s="22"/>
      <c r="G82" s="22"/>
      <c r="H82" s="22"/>
      <c r="I82" s="22"/>
      <c r="J82" s="22"/>
      <c r="K82" s="17">
        <f>SUM(Table16[[#This Row],[Challenge 1]:[Challenge 50]])</f>
        <v>0</v>
      </c>
      <c r="L82" s="88">
        <f>SUM(Table16[[#This Row],[Club 1]:[Club 50]])</f>
        <v>0</v>
      </c>
      <c r="M82" s="88">
        <f>SUM(Table16[[#This Row],[Intra-school sports 1]:[Intra-school sports 50]])</f>
        <v>0</v>
      </c>
      <c r="N82" s="88">
        <f>SUM(Table16[[#This Row],[Inter School sports 1]:[Inter School sports 50]])</f>
        <v>0</v>
      </c>
      <c r="O82" s="17">
        <f>COUNTIF(Table16[[#This Row],[Community club (type name of club(s). All clubs will count as ''1'']],"*")</f>
        <v>0</v>
      </c>
      <c r="P82" s="17">
        <f>IF(OR(Table16[[#This Row],[Total Challenges]]&gt;0,Table16[[#This Row],[Total Ex-C Clubs]]&gt;0,Table16[[#This Row],[Total Intra-School Sports]]&gt;0,Table16[[#This Row],[Total Inter-School Sports]]&gt;0,Table16[[#This Row],[Community Clubs]]&gt;0),1,0)</f>
        <v>0</v>
      </c>
      <c r="Q82" s="22"/>
      <c r="R82" s="22"/>
      <c r="S82" s="22"/>
      <c r="T82" s="22"/>
      <c r="U82" s="22"/>
      <c r="V82" s="22"/>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21"/>
    </row>
    <row r="83" spans="1:218" x14ac:dyDescent="0.25">
      <c r="A83" s="22"/>
      <c r="B83" s="22"/>
      <c r="C83" s="22"/>
      <c r="D83" s="22"/>
      <c r="E83" s="22"/>
      <c r="F83" s="22"/>
      <c r="G83" s="22"/>
      <c r="H83" s="22"/>
      <c r="I83" s="22"/>
      <c r="J83" s="22"/>
      <c r="K83" s="17">
        <f>SUM(Table16[[#This Row],[Challenge 1]:[Challenge 50]])</f>
        <v>0</v>
      </c>
      <c r="L83" s="88">
        <f>SUM(Table16[[#This Row],[Club 1]:[Club 50]])</f>
        <v>0</v>
      </c>
      <c r="M83" s="88">
        <f>SUM(Table16[[#This Row],[Intra-school sports 1]:[Intra-school sports 50]])</f>
        <v>0</v>
      </c>
      <c r="N83" s="88">
        <f>SUM(Table16[[#This Row],[Inter School sports 1]:[Inter School sports 50]])</f>
        <v>0</v>
      </c>
      <c r="O83" s="17">
        <f>COUNTIF(Table16[[#This Row],[Community club (type name of club(s). All clubs will count as ''1'']],"*")</f>
        <v>0</v>
      </c>
      <c r="P83" s="17">
        <f>IF(OR(Table16[[#This Row],[Total Challenges]]&gt;0,Table16[[#This Row],[Total Ex-C Clubs]]&gt;0,Table16[[#This Row],[Total Intra-School Sports]]&gt;0,Table16[[#This Row],[Total Inter-School Sports]]&gt;0,Table16[[#This Row],[Community Clubs]]&gt;0),1,0)</f>
        <v>0</v>
      </c>
      <c r="Q83" s="22"/>
      <c r="R83" s="22"/>
      <c r="S83" s="22"/>
      <c r="T83" s="22"/>
      <c r="U83" s="22"/>
      <c r="V83" s="22"/>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21"/>
    </row>
    <row r="84" spans="1:218" x14ac:dyDescent="0.25">
      <c r="A84" s="22"/>
      <c r="B84" s="22"/>
      <c r="C84" s="22"/>
      <c r="D84" s="22"/>
      <c r="E84" s="22"/>
      <c r="F84" s="22"/>
      <c r="G84" s="22"/>
      <c r="H84" s="22"/>
      <c r="I84" s="22"/>
      <c r="J84" s="22"/>
      <c r="K84" s="17">
        <f>SUM(Table16[[#This Row],[Challenge 1]:[Challenge 50]])</f>
        <v>0</v>
      </c>
      <c r="L84" s="88">
        <f>SUM(Table16[[#This Row],[Club 1]:[Club 50]])</f>
        <v>0</v>
      </c>
      <c r="M84" s="88">
        <f>SUM(Table16[[#This Row],[Intra-school sports 1]:[Intra-school sports 50]])</f>
        <v>0</v>
      </c>
      <c r="N84" s="88">
        <f>SUM(Table16[[#This Row],[Inter School sports 1]:[Inter School sports 50]])</f>
        <v>0</v>
      </c>
      <c r="O84" s="17">
        <f>COUNTIF(Table16[[#This Row],[Community club (type name of club(s). All clubs will count as ''1'']],"*")</f>
        <v>0</v>
      </c>
      <c r="P84" s="17">
        <f>IF(OR(Table16[[#This Row],[Total Challenges]]&gt;0,Table16[[#This Row],[Total Ex-C Clubs]]&gt;0,Table16[[#This Row],[Total Intra-School Sports]]&gt;0,Table16[[#This Row],[Total Inter-School Sports]]&gt;0,Table16[[#This Row],[Community Clubs]]&gt;0),1,0)</f>
        <v>0</v>
      </c>
      <c r="Q84" s="22"/>
      <c r="R84" s="22"/>
      <c r="S84" s="22"/>
      <c r="T84" s="22"/>
      <c r="U84" s="22"/>
      <c r="V84" s="22"/>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21"/>
    </row>
    <row r="85" spans="1:218" x14ac:dyDescent="0.25">
      <c r="A85" s="22"/>
      <c r="B85" s="22"/>
      <c r="C85" s="22"/>
      <c r="D85" s="22"/>
      <c r="E85" s="22"/>
      <c r="F85" s="22"/>
      <c r="G85" s="22"/>
      <c r="H85" s="22"/>
      <c r="I85" s="22"/>
      <c r="J85" s="22"/>
      <c r="K85" s="17">
        <f>SUM(Table16[[#This Row],[Challenge 1]:[Challenge 50]])</f>
        <v>0</v>
      </c>
      <c r="L85" s="88">
        <f>SUM(Table16[[#This Row],[Club 1]:[Club 50]])</f>
        <v>0</v>
      </c>
      <c r="M85" s="88">
        <f>SUM(Table16[[#This Row],[Intra-school sports 1]:[Intra-school sports 50]])</f>
        <v>0</v>
      </c>
      <c r="N85" s="88">
        <f>SUM(Table16[[#This Row],[Inter School sports 1]:[Inter School sports 50]])</f>
        <v>0</v>
      </c>
      <c r="O85" s="17">
        <f>COUNTIF(Table16[[#This Row],[Community club (type name of club(s). All clubs will count as ''1'']],"*")</f>
        <v>0</v>
      </c>
      <c r="P85" s="17">
        <f>IF(OR(Table16[[#This Row],[Total Challenges]]&gt;0,Table16[[#This Row],[Total Ex-C Clubs]]&gt;0,Table16[[#This Row],[Total Intra-School Sports]]&gt;0,Table16[[#This Row],[Total Inter-School Sports]]&gt;0,Table16[[#This Row],[Community Clubs]]&gt;0),1,0)</f>
        <v>0</v>
      </c>
      <c r="Q85" s="22"/>
      <c r="R85" s="22"/>
      <c r="S85" s="22"/>
      <c r="T85" s="22"/>
      <c r="U85" s="22"/>
      <c r="V85" s="22"/>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21"/>
    </row>
    <row r="86" spans="1:218" x14ac:dyDescent="0.25">
      <c r="A86" s="22"/>
      <c r="B86" s="22"/>
      <c r="C86" s="22"/>
      <c r="D86" s="22"/>
      <c r="E86" s="22"/>
      <c r="F86" s="22"/>
      <c r="G86" s="22"/>
      <c r="H86" s="22"/>
      <c r="I86" s="22"/>
      <c r="J86" s="22"/>
      <c r="K86" s="17">
        <f>SUM(Table16[[#This Row],[Challenge 1]:[Challenge 50]])</f>
        <v>0</v>
      </c>
      <c r="L86" s="88">
        <f>SUM(Table16[[#This Row],[Club 1]:[Club 50]])</f>
        <v>0</v>
      </c>
      <c r="M86" s="88">
        <f>SUM(Table16[[#This Row],[Intra-school sports 1]:[Intra-school sports 50]])</f>
        <v>0</v>
      </c>
      <c r="N86" s="88">
        <f>SUM(Table16[[#This Row],[Inter School sports 1]:[Inter School sports 50]])</f>
        <v>0</v>
      </c>
      <c r="O86" s="17">
        <f>COUNTIF(Table16[[#This Row],[Community club (type name of club(s). All clubs will count as ''1'']],"*")</f>
        <v>0</v>
      </c>
      <c r="P86" s="17">
        <f>IF(OR(Table16[[#This Row],[Total Challenges]]&gt;0,Table16[[#This Row],[Total Ex-C Clubs]]&gt;0,Table16[[#This Row],[Total Intra-School Sports]]&gt;0,Table16[[#This Row],[Total Inter-School Sports]]&gt;0,Table16[[#This Row],[Community Clubs]]&gt;0),1,0)</f>
        <v>0</v>
      </c>
      <c r="Q86" s="22"/>
      <c r="R86" s="22"/>
      <c r="S86" s="22"/>
      <c r="T86" s="22"/>
      <c r="U86" s="22"/>
      <c r="V86" s="22"/>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21"/>
    </row>
    <row r="87" spans="1:218" x14ac:dyDescent="0.25">
      <c r="A87" s="22"/>
      <c r="B87" s="22"/>
      <c r="C87" s="22"/>
      <c r="D87" s="22"/>
      <c r="E87" s="22"/>
      <c r="F87" s="22"/>
      <c r="G87" s="22"/>
      <c r="H87" s="22"/>
      <c r="I87" s="22"/>
      <c r="J87" s="22"/>
      <c r="K87" s="17">
        <f>SUM(Table16[[#This Row],[Challenge 1]:[Challenge 50]])</f>
        <v>0</v>
      </c>
      <c r="L87" s="88">
        <f>SUM(Table16[[#This Row],[Club 1]:[Club 50]])</f>
        <v>0</v>
      </c>
      <c r="M87" s="88">
        <f>SUM(Table16[[#This Row],[Intra-school sports 1]:[Intra-school sports 50]])</f>
        <v>0</v>
      </c>
      <c r="N87" s="88">
        <f>SUM(Table16[[#This Row],[Inter School sports 1]:[Inter School sports 50]])</f>
        <v>0</v>
      </c>
      <c r="O87" s="17">
        <f>COUNTIF(Table16[[#This Row],[Community club (type name of club(s). All clubs will count as ''1'']],"*")</f>
        <v>0</v>
      </c>
      <c r="P87" s="17">
        <f>IF(OR(Table16[[#This Row],[Total Challenges]]&gt;0,Table16[[#This Row],[Total Ex-C Clubs]]&gt;0,Table16[[#This Row],[Total Intra-School Sports]]&gt;0,Table16[[#This Row],[Total Inter-School Sports]]&gt;0,Table16[[#This Row],[Community Clubs]]&gt;0),1,0)</f>
        <v>0</v>
      </c>
      <c r="Q87" s="22"/>
      <c r="R87" s="22"/>
      <c r="S87" s="22"/>
      <c r="T87" s="22"/>
      <c r="U87" s="22"/>
      <c r="V87" s="22"/>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21"/>
    </row>
    <row r="88" spans="1:218" x14ac:dyDescent="0.25">
      <c r="A88" s="22"/>
      <c r="B88" s="22"/>
      <c r="C88" s="22"/>
      <c r="D88" s="22"/>
      <c r="E88" s="22"/>
      <c r="F88" s="22"/>
      <c r="G88" s="22"/>
      <c r="H88" s="22"/>
      <c r="I88" s="22"/>
      <c r="J88" s="22"/>
      <c r="K88" s="17">
        <f>SUM(Table16[[#This Row],[Challenge 1]:[Challenge 50]])</f>
        <v>0</v>
      </c>
      <c r="L88" s="88">
        <f>SUM(Table16[[#This Row],[Club 1]:[Club 50]])</f>
        <v>0</v>
      </c>
      <c r="M88" s="88">
        <f>SUM(Table16[[#This Row],[Intra-school sports 1]:[Intra-school sports 50]])</f>
        <v>0</v>
      </c>
      <c r="N88" s="88">
        <f>SUM(Table16[[#This Row],[Inter School sports 1]:[Inter School sports 50]])</f>
        <v>0</v>
      </c>
      <c r="O88" s="17">
        <f>COUNTIF(Table16[[#This Row],[Community club (type name of club(s). All clubs will count as ''1'']],"*")</f>
        <v>0</v>
      </c>
      <c r="P88" s="17">
        <f>IF(OR(Table16[[#This Row],[Total Challenges]]&gt;0,Table16[[#This Row],[Total Ex-C Clubs]]&gt;0,Table16[[#This Row],[Total Intra-School Sports]]&gt;0,Table16[[#This Row],[Total Inter-School Sports]]&gt;0,Table16[[#This Row],[Community Clubs]]&gt;0),1,0)</f>
        <v>0</v>
      </c>
      <c r="Q88" s="22"/>
      <c r="R88" s="22"/>
      <c r="S88" s="22"/>
      <c r="T88" s="22"/>
      <c r="U88" s="22"/>
      <c r="V88" s="22"/>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21"/>
    </row>
    <row r="89" spans="1:218" x14ac:dyDescent="0.25">
      <c r="A89" s="22"/>
      <c r="B89" s="22"/>
      <c r="C89" s="22"/>
      <c r="D89" s="22"/>
      <c r="E89" s="22"/>
      <c r="F89" s="22"/>
      <c r="G89" s="22"/>
      <c r="H89" s="22"/>
      <c r="I89" s="22"/>
      <c r="J89" s="22"/>
      <c r="K89" s="17">
        <f>SUM(Table16[[#This Row],[Challenge 1]:[Challenge 50]])</f>
        <v>0</v>
      </c>
      <c r="L89" s="88">
        <f>SUM(Table16[[#This Row],[Club 1]:[Club 50]])</f>
        <v>0</v>
      </c>
      <c r="M89" s="88">
        <f>SUM(Table16[[#This Row],[Intra-school sports 1]:[Intra-school sports 50]])</f>
        <v>0</v>
      </c>
      <c r="N89" s="88">
        <f>SUM(Table16[[#This Row],[Inter School sports 1]:[Inter School sports 50]])</f>
        <v>0</v>
      </c>
      <c r="O89" s="17">
        <f>COUNTIF(Table16[[#This Row],[Community club (type name of club(s). All clubs will count as ''1'']],"*")</f>
        <v>0</v>
      </c>
      <c r="P89" s="17">
        <f>IF(OR(Table16[[#This Row],[Total Challenges]]&gt;0,Table16[[#This Row],[Total Ex-C Clubs]]&gt;0,Table16[[#This Row],[Total Intra-School Sports]]&gt;0,Table16[[#This Row],[Total Inter-School Sports]]&gt;0,Table16[[#This Row],[Community Clubs]]&gt;0),1,0)</f>
        <v>0</v>
      </c>
      <c r="Q89" s="22"/>
      <c r="R89" s="22"/>
      <c r="S89" s="22"/>
      <c r="T89" s="22"/>
      <c r="U89" s="22"/>
      <c r="V89" s="22"/>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21"/>
    </row>
    <row r="90" spans="1:218" x14ac:dyDescent="0.25">
      <c r="A90" s="22"/>
      <c r="B90" s="22"/>
      <c r="C90" s="22"/>
      <c r="D90" s="22"/>
      <c r="E90" s="22"/>
      <c r="F90" s="22"/>
      <c r="G90" s="22"/>
      <c r="H90" s="22"/>
      <c r="I90" s="22"/>
      <c r="J90" s="22"/>
      <c r="K90" s="17">
        <f>SUM(Table16[[#This Row],[Challenge 1]:[Challenge 50]])</f>
        <v>0</v>
      </c>
      <c r="L90" s="88">
        <f>SUM(Table16[[#This Row],[Club 1]:[Club 50]])</f>
        <v>0</v>
      </c>
      <c r="M90" s="88">
        <f>SUM(Table16[[#This Row],[Intra-school sports 1]:[Intra-school sports 50]])</f>
        <v>0</v>
      </c>
      <c r="N90" s="88">
        <f>SUM(Table16[[#This Row],[Inter School sports 1]:[Inter School sports 50]])</f>
        <v>0</v>
      </c>
      <c r="O90" s="17">
        <f>COUNTIF(Table16[[#This Row],[Community club (type name of club(s). All clubs will count as ''1'']],"*")</f>
        <v>0</v>
      </c>
      <c r="P90" s="17">
        <f>IF(OR(Table16[[#This Row],[Total Challenges]]&gt;0,Table16[[#This Row],[Total Ex-C Clubs]]&gt;0,Table16[[#This Row],[Total Intra-School Sports]]&gt;0,Table16[[#This Row],[Total Inter-School Sports]]&gt;0,Table16[[#This Row],[Community Clubs]]&gt;0),1,0)</f>
        <v>0</v>
      </c>
      <c r="Q90" s="22"/>
      <c r="R90" s="22"/>
      <c r="S90" s="22"/>
      <c r="T90" s="22"/>
      <c r="U90" s="22"/>
      <c r="V90" s="22"/>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21"/>
    </row>
    <row r="91" spans="1:218" x14ac:dyDescent="0.25">
      <c r="A91" s="22"/>
      <c r="B91" s="22"/>
      <c r="C91" s="22"/>
      <c r="D91" s="22"/>
      <c r="E91" s="22"/>
      <c r="F91" s="22"/>
      <c r="G91" s="22"/>
      <c r="H91" s="22"/>
      <c r="I91" s="22"/>
      <c r="J91" s="22"/>
      <c r="K91" s="17">
        <f>SUM(Table16[[#This Row],[Challenge 1]:[Challenge 50]])</f>
        <v>0</v>
      </c>
      <c r="L91" s="88">
        <f>SUM(Table16[[#This Row],[Club 1]:[Club 50]])</f>
        <v>0</v>
      </c>
      <c r="M91" s="88">
        <f>SUM(Table16[[#This Row],[Intra-school sports 1]:[Intra-school sports 50]])</f>
        <v>0</v>
      </c>
      <c r="N91" s="88">
        <f>SUM(Table16[[#This Row],[Inter School sports 1]:[Inter School sports 50]])</f>
        <v>0</v>
      </c>
      <c r="O91" s="17">
        <f>COUNTIF(Table16[[#This Row],[Community club (type name of club(s). All clubs will count as ''1'']],"*")</f>
        <v>0</v>
      </c>
      <c r="P91" s="17">
        <f>IF(OR(Table16[[#This Row],[Total Challenges]]&gt;0,Table16[[#This Row],[Total Ex-C Clubs]]&gt;0,Table16[[#This Row],[Total Intra-School Sports]]&gt;0,Table16[[#This Row],[Total Inter-School Sports]]&gt;0,Table16[[#This Row],[Community Clubs]]&gt;0),1,0)</f>
        <v>0</v>
      </c>
      <c r="Q91" s="22"/>
      <c r="R91" s="22"/>
      <c r="S91" s="22"/>
      <c r="T91" s="22"/>
      <c r="U91" s="22"/>
      <c r="V91" s="22"/>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21"/>
    </row>
    <row r="92" spans="1:218" x14ac:dyDescent="0.25">
      <c r="A92" s="17"/>
      <c r="B92" s="17"/>
      <c r="C92" s="17"/>
      <c r="D92" s="17"/>
      <c r="E92" s="17"/>
      <c r="F92" s="17"/>
      <c r="G92" s="17"/>
      <c r="H92" s="17"/>
      <c r="I92" s="17"/>
      <c r="J92" s="17"/>
      <c r="K92" s="17">
        <f>SUM(Table16[[#This Row],[Challenge 1]:[Challenge 50]])</f>
        <v>0</v>
      </c>
      <c r="L92" s="88">
        <f>SUM(Table16[[#This Row],[Club 1]:[Club 50]])</f>
        <v>0</v>
      </c>
      <c r="M92" s="88">
        <f>SUM(Table16[[#This Row],[Intra-school sports 1]:[Intra-school sports 50]])</f>
        <v>0</v>
      </c>
      <c r="N92" s="88">
        <f>SUM(Table16[[#This Row],[Inter School sports 1]:[Inter School sports 50]])</f>
        <v>0</v>
      </c>
      <c r="O92" s="17">
        <f>COUNTIF(Table16[[#This Row],[Community club (type name of club(s). All clubs will count as ''1'']],"*")</f>
        <v>0</v>
      </c>
      <c r="P92" s="17">
        <f>IF(OR(Table16[[#This Row],[Total Challenges]]&gt;0,Table16[[#This Row],[Total Ex-C Clubs]]&gt;0,Table16[[#This Row],[Total Intra-School Sports]]&gt;0,Table16[[#This Row],[Total Inter-School Sports]]&gt;0,Table16[[#This Row],[Community Clubs]]&gt;0),1,0)</f>
        <v>0</v>
      </c>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21"/>
    </row>
    <row r="93" spans="1:218" x14ac:dyDescent="0.25">
      <c r="A93" s="17"/>
      <c r="B93" s="17"/>
      <c r="C93" s="17"/>
      <c r="D93" s="17"/>
      <c r="E93" s="17"/>
      <c r="F93" s="17"/>
      <c r="G93" s="17"/>
      <c r="H93" s="17"/>
      <c r="I93" s="17"/>
      <c r="J93" s="17"/>
      <c r="K93" s="17">
        <f>SUM(Table16[[#This Row],[Challenge 1]:[Challenge 50]])</f>
        <v>0</v>
      </c>
      <c r="L93" s="88">
        <f>SUM(Table16[[#This Row],[Club 1]:[Club 50]])</f>
        <v>0</v>
      </c>
      <c r="M93" s="88">
        <f>SUM(Table16[[#This Row],[Intra-school sports 1]:[Intra-school sports 50]])</f>
        <v>0</v>
      </c>
      <c r="N93" s="88">
        <f>SUM(Table16[[#This Row],[Inter School sports 1]:[Inter School sports 50]])</f>
        <v>0</v>
      </c>
      <c r="O93" s="17">
        <f>COUNTIF(Table16[[#This Row],[Community club (type name of club(s). All clubs will count as ''1'']],"*")</f>
        <v>0</v>
      </c>
      <c r="P93" s="17">
        <f>IF(OR(Table16[[#This Row],[Total Challenges]]&gt;0,Table16[[#This Row],[Total Ex-C Clubs]]&gt;0,Table16[[#This Row],[Total Intra-School Sports]]&gt;0,Table16[[#This Row],[Total Inter-School Sports]]&gt;0,Table16[[#This Row],[Community Clubs]]&gt;0),1,0)</f>
        <v>0</v>
      </c>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21"/>
    </row>
    <row r="94" spans="1:218" x14ac:dyDescent="0.25">
      <c r="A94" s="17"/>
      <c r="B94" s="17"/>
      <c r="C94" s="17"/>
      <c r="D94" s="17"/>
      <c r="E94" s="17"/>
      <c r="F94" s="17"/>
      <c r="G94" s="17"/>
      <c r="H94" s="17"/>
      <c r="I94" s="17"/>
      <c r="J94" s="17"/>
      <c r="K94" s="17">
        <f>SUM(Table16[[#This Row],[Challenge 1]:[Challenge 50]])</f>
        <v>0</v>
      </c>
      <c r="L94" s="88">
        <f>SUM(Table16[[#This Row],[Club 1]:[Club 50]])</f>
        <v>0</v>
      </c>
      <c r="M94" s="88">
        <f>SUM(Table16[[#This Row],[Intra-school sports 1]:[Intra-school sports 50]])</f>
        <v>0</v>
      </c>
      <c r="N94" s="88">
        <f>SUM(Table16[[#This Row],[Inter School sports 1]:[Inter School sports 50]])</f>
        <v>0</v>
      </c>
      <c r="O94" s="17">
        <f>COUNTIF(Table16[[#This Row],[Community club (type name of club(s). All clubs will count as ''1'']],"*")</f>
        <v>0</v>
      </c>
      <c r="P94" s="17">
        <f>IF(OR(Table16[[#This Row],[Total Challenges]]&gt;0,Table16[[#This Row],[Total Ex-C Clubs]]&gt;0,Table16[[#This Row],[Total Intra-School Sports]]&gt;0,Table16[[#This Row],[Total Inter-School Sports]]&gt;0,Table16[[#This Row],[Community Clubs]]&gt;0),1,0)</f>
        <v>0</v>
      </c>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21"/>
    </row>
    <row r="95" spans="1:218" x14ac:dyDescent="0.25">
      <c r="A95" s="17"/>
      <c r="B95" s="17"/>
      <c r="C95" s="17"/>
      <c r="D95" s="17"/>
      <c r="E95" s="17"/>
      <c r="F95" s="17"/>
      <c r="G95" s="17"/>
      <c r="H95" s="17"/>
      <c r="I95" s="17"/>
      <c r="J95" s="17"/>
      <c r="K95" s="17">
        <f>SUM(Table16[[#This Row],[Challenge 1]:[Challenge 50]])</f>
        <v>0</v>
      </c>
      <c r="L95" s="88">
        <f>SUM(Table16[[#This Row],[Club 1]:[Club 50]])</f>
        <v>0</v>
      </c>
      <c r="M95" s="88">
        <f>SUM(Table16[[#This Row],[Intra-school sports 1]:[Intra-school sports 50]])</f>
        <v>0</v>
      </c>
      <c r="N95" s="88">
        <f>SUM(Table16[[#This Row],[Inter School sports 1]:[Inter School sports 50]])</f>
        <v>0</v>
      </c>
      <c r="O95" s="17">
        <f>COUNTIF(Table16[[#This Row],[Community club (type name of club(s). All clubs will count as ''1'']],"*")</f>
        <v>0</v>
      </c>
      <c r="P95" s="17">
        <f>IF(OR(Table16[[#This Row],[Total Challenges]]&gt;0,Table16[[#This Row],[Total Ex-C Clubs]]&gt;0,Table16[[#This Row],[Total Intra-School Sports]]&gt;0,Table16[[#This Row],[Total Inter-School Sports]]&gt;0,Table16[[#This Row],[Community Clubs]]&gt;0),1,0)</f>
        <v>0</v>
      </c>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21"/>
    </row>
    <row r="96" spans="1:218" x14ac:dyDescent="0.25">
      <c r="A96" s="17"/>
      <c r="B96" s="17"/>
      <c r="C96" s="17"/>
      <c r="D96" s="17"/>
      <c r="E96" s="17"/>
      <c r="F96" s="17"/>
      <c r="G96" s="17"/>
      <c r="H96" s="17"/>
      <c r="I96" s="17"/>
      <c r="J96" s="17"/>
      <c r="K96" s="17">
        <f>SUM(Table16[[#This Row],[Challenge 1]:[Challenge 50]])</f>
        <v>0</v>
      </c>
      <c r="L96" s="88">
        <f>SUM(Table16[[#This Row],[Club 1]:[Club 50]])</f>
        <v>0</v>
      </c>
      <c r="M96" s="88">
        <f>SUM(Table16[[#This Row],[Intra-school sports 1]:[Intra-school sports 50]])</f>
        <v>0</v>
      </c>
      <c r="N96" s="88">
        <f>SUM(Table16[[#This Row],[Inter School sports 1]:[Inter School sports 50]])</f>
        <v>0</v>
      </c>
      <c r="O96" s="17">
        <f>COUNTIF(Table16[[#This Row],[Community club (type name of club(s). All clubs will count as ''1'']],"*")</f>
        <v>0</v>
      </c>
      <c r="P96" s="17">
        <f>IF(OR(Table16[[#This Row],[Total Challenges]]&gt;0,Table16[[#This Row],[Total Ex-C Clubs]]&gt;0,Table16[[#This Row],[Total Intra-School Sports]]&gt;0,Table16[[#This Row],[Total Inter-School Sports]]&gt;0,Table16[[#This Row],[Community Clubs]]&gt;0),1,0)</f>
        <v>0</v>
      </c>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21"/>
    </row>
    <row r="97" spans="1:218" x14ac:dyDescent="0.25">
      <c r="A97" s="17"/>
      <c r="B97" s="17"/>
      <c r="C97" s="17"/>
      <c r="D97" s="17"/>
      <c r="E97" s="17"/>
      <c r="F97" s="17"/>
      <c r="G97" s="17"/>
      <c r="H97" s="17"/>
      <c r="I97" s="17"/>
      <c r="J97" s="17"/>
      <c r="K97" s="17">
        <f>SUM(Table16[[#This Row],[Challenge 1]:[Challenge 50]])</f>
        <v>0</v>
      </c>
      <c r="L97" s="88">
        <f>SUM(Table16[[#This Row],[Club 1]:[Club 50]])</f>
        <v>0</v>
      </c>
      <c r="M97" s="88">
        <f>SUM(Table16[[#This Row],[Intra-school sports 1]:[Intra-school sports 50]])</f>
        <v>0</v>
      </c>
      <c r="N97" s="88">
        <f>SUM(Table16[[#This Row],[Inter School sports 1]:[Inter School sports 50]])</f>
        <v>0</v>
      </c>
      <c r="O97" s="17">
        <f>COUNTIF(Table16[[#This Row],[Community club (type name of club(s). All clubs will count as ''1'']],"*")</f>
        <v>0</v>
      </c>
      <c r="P97" s="17">
        <f>IF(OR(Table16[[#This Row],[Total Challenges]]&gt;0,Table16[[#This Row],[Total Ex-C Clubs]]&gt;0,Table16[[#This Row],[Total Intra-School Sports]]&gt;0,Table16[[#This Row],[Total Inter-School Sports]]&gt;0,Table16[[#This Row],[Community Clubs]]&gt;0),1,0)</f>
        <v>0</v>
      </c>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21"/>
    </row>
    <row r="98" spans="1:218" x14ac:dyDescent="0.25">
      <c r="A98" s="17"/>
      <c r="B98" s="17"/>
      <c r="C98" s="17"/>
      <c r="D98" s="17"/>
      <c r="E98" s="17"/>
      <c r="F98" s="17"/>
      <c r="G98" s="17"/>
      <c r="H98" s="17"/>
      <c r="I98" s="17"/>
      <c r="J98" s="17"/>
      <c r="K98" s="17">
        <f>SUM(Table16[[#This Row],[Challenge 1]:[Challenge 50]])</f>
        <v>0</v>
      </c>
      <c r="L98" s="88">
        <f>SUM(Table16[[#This Row],[Club 1]:[Club 50]])</f>
        <v>0</v>
      </c>
      <c r="M98" s="88">
        <f>SUM(Table16[[#This Row],[Intra-school sports 1]:[Intra-school sports 50]])</f>
        <v>0</v>
      </c>
      <c r="N98" s="88">
        <f>SUM(Table16[[#This Row],[Inter School sports 1]:[Inter School sports 50]])</f>
        <v>0</v>
      </c>
      <c r="O98" s="17">
        <f>COUNTIF(Table16[[#This Row],[Community club (type name of club(s). All clubs will count as ''1'']],"*")</f>
        <v>0</v>
      </c>
      <c r="P98" s="17">
        <f>IF(OR(Table16[[#This Row],[Total Challenges]]&gt;0,Table16[[#This Row],[Total Ex-C Clubs]]&gt;0,Table16[[#This Row],[Total Intra-School Sports]]&gt;0,Table16[[#This Row],[Total Inter-School Sports]]&gt;0,Table16[[#This Row],[Community Clubs]]&gt;0),1,0)</f>
        <v>0</v>
      </c>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21"/>
    </row>
    <row r="99" spans="1:218" x14ac:dyDescent="0.25">
      <c r="A99" s="17"/>
      <c r="B99" s="17"/>
      <c r="C99" s="17"/>
      <c r="D99" s="17"/>
      <c r="E99" s="17"/>
      <c r="F99" s="17"/>
      <c r="G99" s="17"/>
      <c r="H99" s="17"/>
      <c r="I99" s="17"/>
      <c r="J99" s="17"/>
      <c r="K99" s="17">
        <f>SUM(Table16[[#This Row],[Challenge 1]:[Challenge 50]])</f>
        <v>0</v>
      </c>
      <c r="L99" s="88">
        <f>SUM(Table16[[#This Row],[Club 1]:[Club 50]])</f>
        <v>0</v>
      </c>
      <c r="M99" s="88">
        <f>SUM(Table16[[#This Row],[Intra-school sports 1]:[Intra-school sports 50]])</f>
        <v>0</v>
      </c>
      <c r="N99" s="88">
        <f>SUM(Table16[[#This Row],[Inter School sports 1]:[Inter School sports 50]])</f>
        <v>0</v>
      </c>
      <c r="O99" s="17">
        <f>COUNTIF(Table16[[#This Row],[Community club (type name of club(s). All clubs will count as ''1'']],"*")</f>
        <v>0</v>
      </c>
      <c r="P99" s="17">
        <f>IF(OR(Table16[[#This Row],[Total Challenges]]&gt;0,Table16[[#This Row],[Total Ex-C Clubs]]&gt;0,Table16[[#This Row],[Total Intra-School Sports]]&gt;0,Table16[[#This Row],[Total Inter-School Sports]]&gt;0,Table16[[#This Row],[Community Clubs]]&gt;0),1,0)</f>
        <v>0</v>
      </c>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21"/>
    </row>
    <row r="100" spans="1:218" x14ac:dyDescent="0.25">
      <c r="A100" s="17"/>
      <c r="B100" s="17"/>
      <c r="C100" s="17"/>
      <c r="D100" s="17"/>
      <c r="E100" s="17"/>
      <c r="F100" s="17"/>
      <c r="G100" s="17"/>
      <c r="H100" s="17"/>
      <c r="I100" s="17"/>
      <c r="J100" s="17"/>
      <c r="K100" s="17">
        <f>SUM(Table16[[#This Row],[Challenge 1]:[Challenge 50]])</f>
        <v>0</v>
      </c>
      <c r="L100" s="88">
        <f>SUM(Table16[[#This Row],[Club 1]:[Club 50]])</f>
        <v>0</v>
      </c>
      <c r="M100" s="88">
        <f>SUM(Table16[[#This Row],[Intra-school sports 1]:[Intra-school sports 50]])</f>
        <v>0</v>
      </c>
      <c r="N100" s="88">
        <f>SUM(Table16[[#This Row],[Inter School sports 1]:[Inter School sports 50]])</f>
        <v>0</v>
      </c>
      <c r="O100" s="17">
        <f>COUNTIF(Table16[[#This Row],[Community club (type name of club(s). All clubs will count as ''1'']],"*")</f>
        <v>0</v>
      </c>
      <c r="P100" s="17">
        <f>IF(OR(Table16[[#This Row],[Total Challenges]]&gt;0,Table16[[#This Row],[Total Ex-C Clubs]]&gt;0,Table16[[#This Row],[Total Intra-School Sports]]&gt;0,Table16[[#This Row],[Total Inter-School Sports]]&gt;0,Table16[[#This Row],[Community Clubs]]&gt;0),1,0)</f>
        <v>0</v>
      </c>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21"/>
    </row>
    <row r="101" spans="1:218" x14ac:dyDescent="0.25">
      <c r="A101" s="17"/>
      <c r="B101" s="17"/>
      <c r="C101" s="17"/>
      <c r="D101" s="17"/>
      <c r="E101" s="17"/>
      <c r="F101" s="17"/>
      <c r="G101" s="17"/>
      <c r="H101" s="17"/>
      <c r="I101" s="17"/>
      <c r="J101" s="17"/>
      <c r="K101" s="17">
        <f>SUM(Table16[[#This Row],[Challenge 1]:[Challenge 50]])</f>
        <v>0</v>
      </c>
      <c r="L101" s="88">
        <f>SUM(Table16[[#This Row],[Club 1]:[Club 50]])</f>
        <v>0</v>
      </c>
      <c r="M101" s="88">
        <f>SUM(Table16[[#This Row],[Intra-school sports 1]:[Intra-school sports 50]])</f>
        <v>0</v>
      </c>
      <c r="N101" s="88">
        <f>SUM(Table16[[#This Row],[Inter School sports 1]:[Inter School sports 50]])</f>
        <v>0</v>
      </c>
      <c r="O101" s="17">
        <f>COUNTIF(Table16[[#This Row],[Community club (type name of club(s). All clubs will count as ''1'']],"*")</f>
        <v>0</v>
      </c>
      <c r="P101" s="17">
        <f>IF(OR(Table16[[#This Row],[Total Challenges]]&gt;0,Table16[[#This Row],[Total Ex-C Clubs]]&gt;0,Table16[[#This Row],[Total Intra-School Sports]]&gt;0,Table16[[#This Row],[Total Inter-School Sports]]&gt;0,Table16[[#This Row],[Community Clubs]]&gt;0),1,0)</f>
        <v>0</v>
      </c>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21"/>
    </row>
    <row r="102" spans="1:218" x14ac:dyDescent="0.25">
      <c r="A102" s="17"/>
      <c r="B102" s="17"/>
      <c r="C102" s="17"/>
      <c r="D102" s="17"/>
      <c r="E102" s="17"/>
      <c r="F102" s="17"/>
      <c r="G102" s="17"/>
      <c r="H102" s="17"/>
      <c r="I102" s="17"/>
      <c r="J102" s="17"/>
      <c r="K102" s="17">
        <f>SUM(Table16[[#This Row],[Challenge 1]:[Challenge 50]])</f>
        <v>0</v>
      </c>
      <c r="L102" s="88">
        <f>SUM(Table16[[#This Row],[Club 1]:[Club 50]])</f>
        <v>0</v>
      </c>
      <c r="M102" s="88">
        <f>SUM(Table16[[#This Row],[Intra-school sports 1]:[Intra-school sports 50]])</f>
        <v>0</v>
      </c>
      <c r="N102" s="88">
        <f>SUM(Table16[[#This Row],[Inter School sports 1]:[Inter School sports 50]])</f>
        <v>0</v>
      </c>
      <c r="O102" s="17">
        <f>COUNTIF(Table16[[#This Row],[Community club (type name of club(s). All clubs will count as ''1'']],"*")</f>
        <v>0</v>
      </c>
      <c r="P102" s="17">
        <f>IF(OR(Table16[[#This Row],[Total Challenges]]&gt;0,Table16[[#This Row],[Total Ex-C Clubs]]&gt;0,Table16[[#This Row],[Total Intra-School Sports]]&gt;0,Table16[[#This Row],[Total Inter-School Sports]]&gt;0,Table16[[#This Row],[Community Clubs]]&gt;0),1,0)</f>
        <v>0</v>
      </c>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21"/>
    </row>
    <row r="103" spans="1:218" x14ac:dyDescent="0.25">
      <c r="A103" s="17"/>
      <c r="B103" s="17"/>
      <c r="C103" s="17"/>
      <c r="D103" s="17"/>
      <c r="E103" s="17"/>
      <c r="F103" s="17"/>
      <c r="G103" s="17"/>
      <c r="H103" s="17"/>
      <c r="I103" s="17"/>
      <c r="J103" s="17"/>
      <c r="K103" s="17">
        <f>SUM(Table16[[#This Row],[Challenge 1]:[Challenge 50]])</f>
        <v>0</v>
      </c>
      <c r="L103" s="88">
        <f>SUM(Table16[[#This Row],[Club 1]:[Club 50]])</f>
        <v>0</v>
      </c>
      <c r="M103" s="88">
        <f>SUM(Table16[[#This Row],[Intra-school sports 1]:[Intra-school sports 50]])</f>
        <v>0</v>
      </c>
      <c r="N103" s="88">
        <f>SUM(Table16[[#This Row],[Inter School sports 1]:[Inter School sports 50]])</f>
        <v>0</v>
      </c>
      <c r="O103" s="17">
        <f>COUNTIF(Table16[[#This Row],[Community club (type name of club(s). All clubs will count as ''1'']],"*")</f>
        <v>0</v>
      </c>
      <c r="P103" s="17">
        <f>IF(OR(Table16[[#This Row],[Total Challenges]]&gt;0,Table16[[#This Row],[Total Ex-C Clubs]]&gt;0,Table16[[#This Row],[Total Intra-School Sports]]&gt;0,Table16[[#This Row],[Total Inter-School Sports]]&gt;0,Table16[[#This Row],[Community Clubs]]&gt;0),1,0)</f>
        <v>0</v>
      </c>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21"/>
    </row>
    <row r="104" spans="1:218" x14ac:dyDescent="0.25">
      <c r="A104" s="17"/>
      <c r="B104" s="17"/>
      <c r="C104" s="17"/>
      <c r="D104" s="17"/>
      <c r="E104" s="17"/>
      <c r="F104" s="17"/>
      <c r="G104" s="17"/>
      <c r="H104" s="17"/>
      <c r="I104" s="17"/>
      <c r="J104" s="17"/>
      <c r="K104" s="17">
        <f>SUM(Table16[[#This Row],[Challenge 1]:[Challenge 50]])</f>
        <v>0</v>
      </c>
      <c r="L104" s="88">
        <f>SUM(Table16[[#This Row],[Club 1]:[Club 50]])</f>
        <v>0</v>
      </c>
      <c r="M104" s="88">
        <f>SUM(Table16[[#This Row],[Intra-school sports 1]:[Intra-school sports 50]])</f>
        <v>0</v>
      </c>
      <c r="N104" s="88">
        <f>SUM(Table16[[#This Row],[Inter School sports 1]:[Inter School sports 50]])</f>
        <v>0</v>
      </c>
      <c r="O104" s="17">
        <f>COUNTIF(Table16[[#This Row],[Community club (type name of club(s). All clubs will count as ''1'']],"*")</f>
        <v>0</v>
      </c>
      <c r="P104" s="17">
        <f>IF(OR(Table16[[#This Row],[Total Challenges]]&gt;0,Table16[[#This Row],[Total Ex-C Clubs]]&gt;0,Table16[[#This Row],[Total Intra-School Sports]]&gt;0,Table16[[#This Row],[Total Inter-School Sports]]&gt;0,Table16[[#This Row],[Community Clubs]]&gt;0),1,0)</f>
        <v>0</v>
      </c>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21"/>
    </row>
    <row r="105" spans="1:218" x14ac:dyDescent="0.25">
      <c r="A105" s="17"/>
      <c r="B105" s="17"/>
      <c r="C105" s="17"/>
      <c r="D105" s="17"/>
      <c r="E105" s="17"/>
      <c r="F105" s="17"/>
      <c r="G105" s="17"/>
      <c r="H105" s="17"/>
      <c r="I105" s="17"/>
      <c r="J105" s="17"/>
      <c r="K105" s="17">
        <f>SUM(Table16[[#This Row],[Challenge 1]:[Challenge 50]])</f>
        <v>0</v>
      </c>
      <c r="L105" s="88">
        <f>SUM(Table16[[#This Row],[Club 1]:[Club 50]])</f>
        <v>0</v>
      </c>
      <c r="M105" s="88">
        <f>SUM(Table16[[#This Row],[Intra-school sports 1]:[Intra-school sports 50]])</f>
        <v>0</v>
      </c>
      <c r="N105" s="88">
        <f>SUM(Table16[[#This Row],[Inter School sports 1]:[Inter School sports 50]])</f>
        <v>0</v>
      </c>
      <c r="O105" s="17">
        <f>COUNTIF(Table16[[#This Row],[Community club (type name of club(s). All clubs will count as ''1'']],"*")</f>
        <v>0</v>
      </c>
      <c r="P105" s="17">
        <f>IF(OR(Table16[[#This Row],[Total Challenges]]&gt;0,Table16[[#This Row],[Total Ex-C Clubs]]&gt;0,Table16[[#This Row],[Total Intra-School Sports]]&gt;0,Table16[[#This Row],[Total Inter-School Sports]]&gt;0,Table16[[#This Row],[Community Clubs]]&gt;0),1,0)</f>
        <v>0</v>
      </c>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21"/>
    </row>
    <row r="106" spans="1:218" x14ac:dyDescent="0.25">
      <c r="A106" s="17"/>
      <c r="B106" s="17"/>
      <c r="C106" s="17"/>
      <c r="D106" s="17"/>
      <c r="E106" s="17"/>
      <c r="F106" s="17"/>
      <c r="G106" s="17"/>
      <c r="H106" s="17"/>
      <c r="I106" s="17"/>
      <c r="J106" s="17"/>
      <c r="K106" s="17">
        <f>SUM(Table16[[#This Row],[Challenge 1]:[Challenge 50]])</f>
        <v>0</v>
      </c>
      <c r="L106" s="88">
        <f>SUM(Table16[[#This Row],[Club 1]:[Club 50]])</f>
        <v>0</v>
      </c>
      <c r="M106" s="88">
        <f>SUM(Table16[[#This Row],[Intra-school sports 1]:[Intra-school sports 50]])</f>
        <v>0</v>
      </c>
      <c r="N106" s="88">
        <f>SUM(Table16[[#This Row],[Inter School sports 1]:[Inter School sports 50]])</f>
        <v>0</v>
      </c>
      <c r="O106" s="17">
        <f>COUNTIF(Table16[[#This Row],[Community club (type name of club(s). All clubs will count as ''1'']],"*")</f>
        <v>0</v>
      </c>
      <c r="P106" s="17">
        <f>IF(OR(Table16[[#This Row],[Total Challenges]]&gt;0,Table16[[#This Row],[Total Ex-C Clubs]]&gt;0,Table16[[#This Row],[Total Intra-School Sports]]&gt;0,Table16[[#This Row],[Total Inter-School Sports]]&gt;0,Table16[[#This Row],[Community Clubs]]&gt;0),1,0)</f>
        <v>0</v>
      </c>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21"/>
    </row>
    <row r="107" spans="1:218" x14ac:dyDescent="0.25">
      <c r="A107" s="17"/>
      <c r="B107" s="17"/>
      <c r="C107" s="17"/>
      <c r="D107" s="17"/>
      <c r="E107" s="17"/>
      <c r="F107" s="17"/>
      <c r="G107" s="17"/>
      <c r="H107" s="17"/>
      <c r="I107" s="17"/>
      <c r="J107" s="17"/>
      <c r="K107" s="17">
        <f>SUM(Table16[[#This Row],[Challenge 1]:[Challenge 50]])</f>
        <v>0</v>
      </c>
      <c r="L107" s="88">
        <f>SUM(Table16[[#This Row],[Club 1]:[Club 50]])</f>
        <v>0</v>
      </c>
      <c r="M107" s="88">
        <f>SUM(Table16[[#This Row],[Intra-school sports 1]:[Intra-school sports 50]])</f>
        <v>0</v>
      </c>
      <c r="N107" s="88">
        <f>SUM(Table16[[#This Row],[Inter School sports 1]:[Inter School sports 50]])</f>
        <v>0</v>
      </c>
      <c r="O107" s="17">
        <f>COUNTIF(Table16[[#This Row],[Community club (type name of club(s). All clubs will count as ''1'']],"*")</f>
        <v>0</v>
      </c>
      <c r="P107" s="17">
        <f>IF(OR(Table16[[#This Row],[Total Challenges]]&gt;0,Table16[[#This Row],[Total Ex-C Clubs]]&gt;0,Table16[[#This Row],[Total Intra-School Sports]]&gt;0,Table16[[#This Row],[Total Inter-School Sports]]&gt;0,Table16[[#This Row],[Community Clubs]]&gt;0),1,0)</f>
        <v>0</v>
      </c>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21"/>
    </row>
    <row r="108" spans="1:218" x14ac:dyDescent="0.25">
      <c r="A108" s="17"/>
      <c r="B108" s="17"/>
      <c r="C108" s="17"/>
      <c r="D108" s="17"/>
      <c r="E108" s="17"/>
      <c r="F108" s="17"/>
      <c r="G108" s="17"/>
      <c r="H108" s="17"/>
      <c r="I108" s="17"/>
      <c r="J108" s="17"/>
      <c r="K108" s="17">
        <f>SUM(Table16[[#This Row],[Challenge 1]:[Challenge 50]])</f>
        <v>0</v>
      </c>
      <c r="L108" s="88">
        <f>SUM(Table16[[#This Row],[Club 1]:[Club 50]])</f>
        <v>0</v>
      </c>
      <c r="M108" s="88">
        <f>SUM(Table16[[#This Row],[Intra-school sports 1]:[Intra-school sports 50]])</f>
        <v>0</v>
      </c>
      <c r="N108" s="88">
        <f>SUM(Table16[[#This Row],[Inter School sports 1]:[Inter School sports 50]])</f>
        <v>0</v>
      </c>
      <c r="O108" s="17">
        <f>COUNTIF(Table16[[#This Row],[Community club (type name of club(s). All clubs will count as ''1'']],"*")</f>
        <v>0</v>
      </c>
      <c r="P108" s="17">
        <f>IF(OR(Table16[[#This Row],[Total Challenges]]&gt;0,Table16[[#This Row],[Total Ex-C Clubs]]&gt;0,Table16[[#This Row],[Total Intra-School Sports]]&gt;0,Table16[[#This Row],[Total Inter-School Sports]]&gt;0,Table16[[#This Row],[Community Clubs]]&gt;0),1,0)</f>
        <v>0</v>
      </c>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21"/>
    </row>
    <row r="109" spans="1:218" x14ac:dyDescent="0.25">
      <c r="A109" s="17"/>
      <c r="B109" s="17"/>
      <c r="C109" s="17"/>
      <c r="D109" s="17"/>
      <c r="E109" s="17"/>
      <c r="F109" s="17"/>
      <c r="G109" s="17"/>
      <c r="H109" s="17"/>
      <c r="I109" s="17"/>
      <c r="J109" s="17"/>
      <c r="K109" s="17">
        <f>SUM(Table16[[#This Row],[Challenge 1]:[Challenge 50]])</f>
        <v>0</v>
      </c>
      <c r="L109" s="88">
        <f>SUM(Table16[[#This Row],[Club 1]:[Club 50]])</f>
        <v>0</v>
      </c>
      <c r="M109" s="88">
        <f>SUM(Table16[[#This Row],[Intra-school sports 1]:[Intra-school sports 50]])</f>
        <v>0</v>
      </c>
      <c r="N109" s="88">
        <f>SUM(Table16[[#This Row],[Inter School sports 1]:[Inter School sports 50]])</f>
        <v>0</v>
      </c>
      <c r="O109" s="17">
        <f>COUNTIF(Table16[[#This Row],[Community club (type name of club(s). All clubs will count as ''1'']],"*")</f>
        <v>0</v>
      </c>
      <c r="P109" s="17">
        <f>IF(OR(Table16[[#This Row],[Total Challenges]]&gt;0,Table16[[#This Row],[Total Ex-C Clubs]]&gt;0,Table16[[#This Row],[Total Intra-School Sports]]&gt;0,Table16[[#This Row],[Total Inter-School Sports]]&gt;0,Table16[[#This Row],[Community Clubs]]&gt;0),1,0)</f>
        <v>0</v>
      </c>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21"/>
    </row>
    <row r="110" spans="1:218" x14ac:dyDescent="0.25">
      <c r="A110" s="17"/>
      <c r="B110" s="17"/>
      <c r="C110" s="17"/>
      <c r="D110" s="17"/>
      <c r="E110" s="17"/>
      <c r="F110" s="17"/>
      <c r="G110" s="17"/>
      <c r="H110" s="17"/>
      <c r="I110" s="17"/>
      <c r="J110" s="17"/>
      <c r="K110" s="17">
        <f>SUM(Table16[[#This Row],[Challenge 1]:[Challenge 50]])</f>
        <v>0</v>
      </c>
      <c r="L110" s="88">
        <f>SUM(Table16[[#This Row],[Club 1]:[Club 50]])</f>
        <v>0</v>
      </c>
      <c r="M110" s="88">
        <f>SUM(Table16[[#This Row],[Intra-school sports 1]:[Intra-school sports 50]])</f>
        <v>0</v>
      </c>
      <c r="N110" s="88">
        <f>SUM(Table16[[#This Row],[Inter School sports 1]:[Inter School sports 50]])</f>
        <v>0</v>
      </c>
      <c r="O110" s="17">
        <f>COUNTIF(Table16[[#This Row],[Community club (type name of club(s). All clubs will count as ''1'']],"*")</f>
        <v>0</v>
      </c>
      <c r="P110" s="17">
        <f>IF(OR(Table16[[#This Row],[Total Challenges]]&gt;0,Table16[[#This Row],[Total Ex-C Clubs]]&gt;0,Table16[[#This Row],[Total Intra-School Sports]]&gt;0,Table16[[#This Row],[Total Inter-School Sports]]&gt;0,Table16[[#This Row],[Community Clubs]]&gt;0),1,0)</f>
        <v>0</v>
      </c>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21"/>
    </row>
    <row r="111" spans="1:218" x14ac:dyDescent="0.25">
      <c r="A111" s="17"/>
      <c r="B111" s="17"/>
      <c r="C111" s="17"/>
      <c r="D111" s="17"/>
      <c r="E111" s="17"/>
      <c r="F111" s="17"/>
      <c r="G111" s="17"/>
      <c r="H111" s="17"/>
      <c r="I111" s="17"/>
      <c r="J111" s="17"/>
      <c r="K111" s="17">
        <f>SUM(Table16[[#This Row],[Challenge 1]:[Challenge 50]])</f>
        <v>0</v>
      </c>
      <c r="L111" s="88">
        <f>SUM(Table16[[#This Row],[Club 1]:[Club 50]])</f>
        <v>0</v>
      </c>
      <c r="M111" s="88">
        <f>SUM(Table16[[#This Row],[Intra-school sports 1]:[Intra-school sports 50]])</f>
        <v>0</v>
      </c>
      <c r="N111" s="88">
        <f>SUM(Table16[[#This Row],[Inter School sports 1]:[Inter School sports 50]])</f>
        <v>0</v>
      </c>
      <c r="O111" s="17">
        <f>COUNTIF(Table16[[#This Row],[Community club (type name of club(s). All clubs will count as ''1'']],"*")</f>
        <v>0</v>
      </c>
      <c r="P111" s="17">
        <f>IF(OR(Table16[[#This Row],[Total Challenges]]&gt;0,Table16[[#This Row],[Total Ex-C Clubs]]&gt;0,Table16[[#This Row],[Total Intra-School Sports]]&gt;0,Table16[[#This Row],[Total Inter-School Sports]]&gt;0,Table16[[#This Row],[Community Clubs]]&gt;0),1,0)</f>
        <v>0</v>
      </c>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21"/>
    </row>
    <row r="112" spans="1:218" x14ac:dyDescent="0.25">
      <c r="A112" s="17"/>
      <c r="B112" s="17"/>
      <c r="C112" s="17"/>
      <c r="D112" s="17"/>
      <c r="E112" s="17"/>
      <c r="F112" s="17"/>
      <c r="G112" s="17"/>
      <c r="H112" s="17"/>
      <c r="I112" s="17"/>
      <c r="J112" s="17"/>
      <c r="K112" s="17">
        <f>SUM(Table16[[#This Row],[Challenge 1]:[Challenge 50]])</f>
        <v>0</v>
      </c>
      <c r="L112" s="88">
        <f>SUM(Table16[[#This Row],[Club 1]:[Club 50]])</f>
        <v>0</v>
      </c>
      <c r="M112" s="88">
        <f>SUM(Table16[[#This Row],[Intra-school sports 1]:[Intra-school sports 50]])</f>
        <v>0</v>
      </c>
      <c r="N112" s="88">
        <f>SUM(Table16[[#This Row],[Inter School sports 1]:[Inter School sports 50]])</f>
        <v>0</v>
      </c>
      <c r="O112" s="17">
        <f>COUNTIF(Table16[[#This Row],[Community club (type name of club(s). All clubs will count as ''1'']],"*")</f>
        <v>0</v>
      </c>
      <c r="P112" s="17">
        <f>IF(OR(Table16[[#This Row],[Total Challenges]]&gt;0,Table16[[#This Row],[Total Ex-C Clubs]]&gt;0,Table16[[#This Row],[Total Intra-School Sports]]&gt;0,Table16[[#This Row],[Total Inter-School Sports]]&gt;0,Table16[[#This Row],[Community Clubs]]&gt;0),1,0)</f>
        <v>0</v>
      </c>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21"/>
    </row>
    <row r="113" spans="1:218" x14ac:dyDescent="0.25">
      <c r="A113" s="17"/>
      <c r="B113" s="17"/>
      <c r="C113" s="17"/>
      <c r="D113" s="17"/>
      <c r="E113" s="17"/>
      <c r="F113" s="17"/>
      <c r="G113" s="17"/>
      <c r="H113" s="17"/>
      <c r="I113" s="17"/>
      <c r="J113" s="17"/>
      <c r="K113" s="17">
        <f>SUM(Table16[[#This Row],[Challenge 1]:[Challenge 50]])</f>
        <v>0</v>
      </c>
      <c r="L113" s="88">
        <f>SUM(Table16[[#This Row],[Club 1]:[Club 50]])</f>
        <v>0</v>
      </c>
      <c r="M113" s="88">
        <f>SUM(Table16[[#This Row],[Intra-school sports 1]:[Intra-school sports 50]])</f>
        <v>0</v>
      </c>
      <c r="N113" s="88">
        <f>SUM(Table16[[#This Row],[Inter School sports 1]:[Inter School sports 50]])</f>
        <v>0</v>
      </c>
      <c r="O113" s="17">
        <f>COUNTIF(Table16[[#This Row],[Community club (type name of club(s). All clubs will count as ''1'']],"*")</f>
        <v>0</v>
      </c>
      <c r="P113" s="17">
        <f>IF(OR(Table16[[#This Row],[Total Challenges]]&gt;0,Table16[[#This Row],[Total Ex-C Clubs]]&gt;0,Table16[[#This Row],[Total Intra-School Sports]]&gt;0,Table16[[#This Row],[Total Inter-School Sports]]&gt;0,Table16[[#This Row],[Community Clubs]]&gt;0),1,0)</f>
        <v>0</v>
      </c>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21"/>
    </row>
    <row r="114" spans="1:218" x14ac:dyDescent="0.25">
      <c r="A114" s="17"/>
      <c r="B114" s="17"/>
      <c r="C114" s="17"/>
      <c r="D114" s="17"/>
      <c r="E114" s="17"/>
      <c r="F114" s="17"/>
      <c r="G114" s="17"/>
      <c r="H114" s="17"/>
      <c r="I114" s="17"/>
      <c r="J114" s="17"/>
      <c r="K114" s="17">
        <f>SUM(Table16[[#This Row],[Challenge 1]:[Challenge 50]])</f>
        <v>0</v>
      </c>
      <c r="L114" s="88">
        <f>SUM(Table16[[#This Row],[Club 1]:[Club 50]])</f>
        <v>0</v>
      </c>
      <c r="M114" s="88">
        <f>SUM(Table16[[#This Row],[Intra-school sports 1]:[Intra-school sports 50]])</f>
        <v>0</v>
      </c>
      <c r="N114" s="88">
        <f>SUM(Table16[[#This Row],[Inter School sports 1]:[Inter School sports 50]])</f>
        <v>0</v>
      </c>
      <c r="O114" s="17">
        <f>COUNTIF(Table16[[#This Row],[Community club (type name of club(s). All clubs will count as ''1'']],"*")</f>
        <v>0</v>
      </c>
      <c r="P114" s="17">
        <f>IF(OR(Table16[[#This Row],[Total Challenges]]&gt;0,Table16[[#This Row],[Total Ex-C Clubs]]&gt;0,Table16[[#This Row],[Total Intra-School Sports]]&gt;0,Table16[[#This Row],[Total Inter-School Sports]]&gt;0,Table16[[#This Row],[Community Clubs]]&gt;0),1,0)</f>
        <v>0</v>
      </c>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21"/>
    </row>
    <row r="115" spans="1:218" x14ac:dyDescent="0.25">
      <c r="A115" s="17"/>
      <c r="B115" s="17"/>
      <c r="C115" s="17"/>
      <c r="D115" s="17"/>
      <c r="E115" s="17"/>
      <c r="F115" s="17"/>
      <c r="G115" s="17"/>
      <c r="H115" s="17"/>
      <c r="I115" s="17"/>
      <c r="J115" s="17"/>
      <c r="K115" s="17">
        <f>SUM(Table16[[#This Row],[Challenge 1]:[Challenge 50]])</f>
        <v>0</v>
      </c>
      <c r="L115" s="88">
        <f>SUM(Table16[[#This Row],[Club 1]:[Club 50]])</f>
        <v>0</v>
      </c>
      <c r="M115" s="88">
        <f>SUM(Table16[[#This Row],[Intra-school sports 1]:[Intra-school sports 50]])</f>
        <v>0</v>
      </c>
      <c r="N115" s="88">
        <f>SUM(Table16[[#This Row],[Inter School sports 1]:[Inter School sports 50]])</f>
        <v>0</v>
      </c>
      <c r="O115" s="17">
        <f>COUNTIF(Table16[[#This Row],[Community club (type name of club(s). All clubs will count as ''1'']],"*")</f>
        <v>0</v>
      </c>
      <c r="P115" s="17">
        <f>IF(OR(Table16[[#This Row],[Total Challenges]]&gt;0,Table16[[#This Row],[Total Ex-C Clubs]]&gt;0,Table16[[#This Row],[Total Intra-School Sports]]&gt;0,Table16[[#This Row],[Total Inter-School Sports]]&gt;0,Table16[[#This Row],[Community Clubs]]&gt;0),1,0)</f>
        <v>0</v>
      </c>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21"/>
    </row>
    <row r="116" spans="1:218" x14ac:dyDescent="0.25">
      <c r="A116" s="17"/>
      <c r="B116" s="17"/>
      <c r="C116" s="17"/>
      <c r="D116" s="17"/>
      <c r="E116" s="17"/>
      <c r="F116" s="17"/>
      <c r="G116" s="17"/>
      <c r="H116" s="17"/>
      <c r="I116" s="17"/>
      <c r="J116" s="17"/>
      <c r="K116" s="17">
        <f>SUM(Table16[[#This Row],[Challenge 1]:[Challenge 50]])</f>
        <v>0</v>
      </c>
      <c r="L116" s="88">
        <f>SUM(Table16[[#This Row],[Club 1]:[Club 50]])</f>
        <v>0</v>
      </c>
      <c r="M116" s="88">
        <f>SUM(Table16[[#This Row],[Intra-school sports 1]:[Intra-school sports 50]])</f>
        <v>0</v>
      </c>
      <c r="N116" s="88">
        <f>SUM(Table16[[#This Row],[Inter School sports 1]:[Inter School sports 50]])</f>
        <v>0</v>
      </c>
      <c r="O116" s="17">
        <f>COUNTIF(Table16[[#This Row],[Community club (type name of club(s). All clubs will count as ''1'']],"*")</f>
        <v>0</v>
      </c>
      <c r="P116" s="17">
        <f>IF(OR(Table16[[#This Row],[Total Challenges]]&gt;0,Table16[[#This Row],[Total Ex-C Clubs]]&gt;0,Table16[[#This Row],[Total Intra-School Sports]]&gt;0,Table16[[#This Row],[Total Inter-School Sports]]&gt;0,Table16[[#This Row],[Community Clubs]]&gt;0),1,0)</f>
        <v>0</v>
      </c>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21"/>
    </row>
    <row r="117" spans="1:218" x14ac:dyDescent="0.25">
      <c r="A117" s="17"/>
      <c r="B117" s="17"/>
      <c r="C117" s="17"/>
      <c r="D117" s="17"/>
      <c r="E117" s="17"/>
      <c r="F117" s="17"/>
      <c r="G117" s="17"/>
      <c r="H117" s="17"/>
      <c r="I117" s="17"/>
      <c r="J117" s="17"/>
      <c r="K117" s="17">
        <f>SUM(Table16[[#This Row],[Challenge 1]:[Challenge 50]])</f>
        <v>0</v>
      </c>
      <c r="L117" s="88">
        <f>SUM(Table16[[#This Row],[Club 1]:[Club 50]])</f>
        <v>0</v>
      </c>
      <c r="M117" s="88">
        <f>SUM(Table16[[#This Row],[Intra-school sports 1]:[Intra-school sports 50]])</f>
        <v>0</v>
      </c>
      <c r="N117" s="88">
        <f>SUM(Table16[[#This Row],[Inter School sports 1]:[Inter School sports 50]])</f>
        <v>0</v>
      </c>
      <c r="O117" s="17">
        <f>COUNTIF(Table16[[#This Row],[Community club (type name of club(s). All clubs will count as ''1'']],"*")</f>
        <v>0</v>
      </c>
      <c r="P117" s="17">
        <f>IF(OR(Table16[[#This Row],[Total Challenges]]&gt;0,Table16[[#This Row],[Total Ex-C Clubs]]&gt;0,Table16[[#This Row],[Total Intra-School Sports]]&gt;0,Table16[[#This Row],[Total Inter-School Sports]]&gt;0,Table16[[#This Row],[Community Clubs]]&gt;0),1,0)</f>
        <v>0</v>
      </c>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21"/>
    </row>
    <row r="118" spans="1:218" x14ac:dyDescent="0.25">
      <c r="A118" s="17"/>
      <c r="B118" s="17"/>
      <c r="C118" s="17"/>
      <c r="D118" s="17"/>
      <c r="E118" s="17"/>
      <c r="F118" s="17"/>
      <c r="G118" s="17"/>
      <c r="H118" s="17"/>
      <c r="I118" s="17"/>
      <c r="J118" s="17"/>
      <c r="K118" s="17">
        <f>SUM(Table16[[#This Row],[Challenge 1]:[Challenge 50]])</f>
        <v>0</v>
      </c>
      <c r="L118" s="88">
        <f>SUM(Table16[[#This Row],[Club 1]:[Club 50]])</f>
        <v>0</v>
      </c>
      <c r="M118" s="88">
        <f>SUM(Table16[[#This Row],[Intra-school sports 1]:[Intra-school sports 50]])</f>
        <v>0</v>
      </c>
      <c r="N118" s="88">
        <f>SUM(Table16[[#This Row],[Inter School sports 1]:[Inter School sports 50]])</f>
        <v>0</v>
      </c>
      <c r="O118" s="17">
        <f>COUNTIF(Table16[[#This Row],[Community club (type name of club(s). All clubs will count as ''1'']],"*")</f>
        <v>0</v>
      </c>
      <c r="P118" s="17">
        <f>IF(OR(Table16[[#This Row],[Total Challenges]]&gt;0,Table16[[#This Row],[Total Ex-C Clubs]]&gt;0,Table16[[#This Row],[Total Intra-School Sports]]&gt;0,Table16[[#This Row],[Total Inter-School Sports]]&gt;0,Table16[[#This Row],[Community Clubs]]&gt;0),1,0)</f>
        <v>0</v>
      </c>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21"/>
    </row>
    <row r="119" spans="1:218" x14ac:dyDescent="0.25">
      <c r="A119" s="17"/>
      <c r="B119" s="17"/>
      <c r="C119" s="17"/>
      <c r="D119" s="17"/>
      <c r="E119" s="17"/>
      <c r="F119" s="17"/>
      <c r="G119" s="17"/>
      <c r="H119" s="17"/>
      <c r="I119" s="17"/>
      <c r="J119" s="17"/>
      <c r="K119" s="17">
        <f>SUM(Table16[[#This Row],[Challenge 1]:[Challenge 50]])</f>
        <v>0</v>
      </c>
      <c r="L119" s="88">
        <f>SUM(Table16[[#This Row],[Club 1]:[Club 50]])</f>
        <v>0</v>
      </c>
      <c r="M119" s="88">
        <f>SUM(Table16[[#This Row],[Intra-school sports 1]:[Intra-school sports 50]])</f>
        <v>0</v>
      </c>
      <c r="N119" s="88">
        <f>SUM(Table16[[#This Row],[Inter School sports 1]:[Inter School sports 50]])</f>
        <v>0</v>
      </c>
      <c r="O119" s="17">
        <f>COUNTIF(Table16[[#This Row],[Community club (type name of club(s). All clubs will count as ''1'']],"*")</f>
        <v>0</v>
      </c>
      <c r="P119" s="17">
        <f>IF(OR(Table16[[#This Row],[Total Challenges]]&gt;0,Table16[[#This Row],[Total Ex-C Clubs]]&gt;0,Table16[[#This Row],[Total Intra-School Sports]]&gt;0,Table16[[#This Row],[Total Inter-School Sports]]&gt;0,Table16[[#This Row],[Community Clubs]]&gt;0),1,0)</f>
        <v>0</v>
      </c>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21"/>
    </row>
    <row r="120" spans="1:218" x14ac:dyDescent="0.25">
      <c r="A120" s="17"/>
      <c r="B120" s="17"/>
      <c r="C120" s="17"/>
      <c r="D120" s="17"/>
      <c r="E120" s="17"/>
      <c r="F120" s="17"/>
      <c r="G120" s="17"/>
      <c r="H120" s="17"/>
      <c r="I120" s="17"/>
      <c r="J120" s="17"/>
      <c r="K120" s="17">
        <f>SUM(Table16[[#This Row],[Challenge 1]:[Challenge 50]])</f>
        <v>0</v>
      </c>
      <c r="L120" s="88">
        <f>SUM(Table16[[#This Row],[Club 1]:[Club 50]])</f>
        <v>0</v>
      </c>
      <c r="M120" s="88">
        <f>SUM(Table16[[#This Row],[Intra-school sports 1]:[Intra-school sports 50]])</f>
        <v>0</v>
      </c>
      <c r="N120" s="88">
        <f>SUM(Table16[[#This Row],[Inter School sports 1]:[Inter School sports 50]])</f>
        <v>0</v>
      </c>
      <c r="O120" s="17">
        <f>COUNTIF(Table16[[#This Row],[Community club (type name of club(s). All clubs will count as ''1'']],"*")</f>
        <v>0</v>
      </c>
      <c r="P120" s="17">
        <f>IF(OR(Table16[[#This Row],[Total Challenges]]&gt;0,Table16[[#This Row],[Total Ex-C Clubs]]&gt;0,Table16[[#This Row],[Total Intra-School Sports]]&gt;0,Table16[[#This Row],[Total Inter-School Sports]]&gt;0,Table16[[#This Row],[Community Clubs]]&gt;0),1,0)</f>
        <v>0</v>
      </c>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21"/>
    </row>
    <row r="121" spans="1:218" x14ac:dyDescent="0.25">
      <c r="A121" s="17"/>
      <c r="B121" s="17"/>
      <c r="C121" s="17"/>
      <c r="D121" s="17"/>
      <c r="E121" s="17"/>
      <c r="F121" s="17"/>
      <c r="G121" s="17"/>
      <c r="H121" s="17"/>
      <c r="I121" s="17"/>
      <c r="J121" s="17"/>
      <c r="K121" s="17">
        <f>SUM(Table16[[#This Row],[Challenge 1]:[Challenge 50]])</f>
        <v>0</v>
      </c>
      <c r="L121" s="88">
        <f>SUM(Table16[[#This Row],[Club 1]:[Club 50]])</f>
        <v>0</v>
      </c>
      <c r="M121" s="88">
        <f>SUM(Table16[[#This Row],[Intra-school sports 1]:[Intra-school sports 50]])</f>
        <v>0</v>
      </c>
      <c r="N121" s="88">
        <f>SUM(Table16[[#This Row],[Inter School sports 1]:[Inter School sports 50]])</f>
        <v>0</v>
      </c>
      <c r="O121" s="17">
        <f>COUNTIF(Table16[[#This Row],[Community club (type name of club(s). All clubs will count as ''1'']],"*")</f>
        <v>0</v>
      </c>
      <c r="P121" s="17">
        <f>IF(OR(Table16[[#This Row],[Total Challenges]]&gt;0,Table16[[#This Row],[Total Ex-C Clubs]]&gt;0,Table16[[#This Row],[Total Intra-School Sports]]&gt;0,Table16[[#This Row],[Total Inter-School Sports]]&gt;0,Table16[[#This Row],[Community Clubs]]&gt;0),1,0)</f>
        <v>0</v>
      </c>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21"/>
    </row>
    <row r="122" spans="1:218" x14ac:dyDescent="0.25">
      <c r="A122" s="17"/>
      <c r="B122" s="17"/>
      <c r="C122" s="17"/>
      <c r="D122" s="17"/>
      <c r="E122" s="17"/>
      <c r="F122" s="17"/>
      <c r="G122" s="17"/>
      <c r="H122" s="17"/>
      <c r="I122" s="17"/>
      <c r="J122" s="17"/>
      <c r="K122" s="17">
        <f>SUM(Table16[[#This Row],[Challenge 1]:[Challenge 50]])</f>
        <v>0</v>
      </c>
      <c r="L122" s="88">
        <f>SUM(Table16[[#This Row],[Club 1]:[Club 50]])</f>
        <v>0</v>
      </c>
      <c r="M122" s="88">
        <f>SUM(Table16[[#This Row],[Intra-school sports 1]:[Intra-school sports 50]])</f>
        <v>0</v>
      </c>
      <c r="N122" s="88">
        <f>SUM(Table16[[#This Row],[Inter School sports 1]:[Inter School sports 50]])</f>
        <v>0</v>
      </c>
      <c r="O122" s="17">
        <f>COUNTIF(Table16[[#This Row],[Community club (type name of club(s). All clubs will count as ''1'']],"*")</f>
        <v>0</v>
      </c>
      <c r="P122" s="17">
        <f>IF(OR(Table16[[#This Row],[Total Challenges]]&gt;0,Table16[[#This Row],[Total Ex-C Clubs]]&gt;0,Table16[[#This Row],[Total Intra-School Sports]]&gt;0,Table16[[#This Row],[Total Inter-School Sports]]&gt;0,Table16[[#This Row],[Community Clubs]]&gt;0),1,0)</f>
        <v>0</v>
      </c>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21"/>
    </row>
    <row r="123" spans="1:218" x14ac:dyDescent="0.25">
      <c r="A123" s="17"/>
      <c r="B123" s="17"/>
      <c r="C123" s="17"/>
      <c r="D123" s="17"/>
      <c r="E123" s="17"/>
      <c r="F123" s="17"/>
      <c r="G123" s="17"/>
      <c r="H123" s="17"/>
      <c r="I123" s="17"/>
      <c r="J123" s="17"/>
      <c r="K123" s="17">
        <f>SUM(Table16[[#This Row],[Challenge 1]:[Challenge 50]])</f>
        <v>0</v>
      </c>
      <c r="L123" s="88">
        <f>SUM(Table16[[#This Row],[Club 1]:[Club 50]])</f>
        <v>0</v>
      </c>
      <c r="M123" s="88">
        <f>SUM(Table16[[#This Row],[Intra-school sports 1]:[Intra-school sports 50]])</f>
        <v>0</v>
      </c>
      <c r="N123" s="88">
        <f>SUM(Table16[[#This Row],[Inter School sports 1]:[Inter School sports 50]])</f>
        <v>0</v>
      </c>
      <c r="O123" s="17">
        <f>COUNTIF(Table16[[#This Row],[Community club (type name of club(s). All clubs will count as ''1'']],"*")</f>
        <v>0</v>
      </c>
      <c r="P123" s="17">
        <f>IF(OR(Table16[[#This Row],[Total Challenges]]&gt;0,Table16[[#This Row],[Total Ex-C Clubs]]&gt;0,Table16[[#This Row],[Total Intra-School Sports]]&gt;0,Table16[[#This Row],[Total Inter-School Sports]]&gt;0,Table16[[#This Row],[Community Clubs]]&gt;0),1,0)</f>
        <v>0</v>
      </c>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21"/>
    </row>
    <row r="124" spans="1:218" x14ac:dyDescent="0.25">
      <c r="A124" s="17"/>
      <c r="B124" s="17"/>
      <c r="C124" s="17"/>
      <c r="D124" s="17"/>
      <c r="E124" s="17"/>
      <c r="F124" s="17"/>
      <c r="G124" s="17"/>
      <c r="H124" s="17"/>
      <c r="I124" s="17"/>
      <c r="J124" s="17"/>
      <c r="K124" s="17">
        <f>SUM(Table16[[#This Row],[Challenge 1]:[Challenge 50]])</f>
        <v>0</v>
      </c>
      <c r="L124" s="88">
        <f>SUM(Table16[[#This Row],[Club 1]:[Club 50]])</f>
        <v>0</v>
      </c>
      <c r="M124" s="88">
        <f>SUM(Table16[[#This Row],[Intra-school sports 1]:[Intra-school sports 50]])</f>
        <v>0</v>
      </c>
      <c r="N124" s="88">
        <f>SUM(Table16[[#This Row],[Inter School sports 1]:[Inter School sports 50]])</f>
        <v>0</v>
      </c>
      <c r="O124" s="17">
        <f>COUNTIF(Table16[[#This Row],[Community club (type name of club(s). All clubs will count as ''1'']],"*")</f>
        <v>0</v>
      </c>
      <c r="P124" s="17">
        <f>IF(OR(Table16[[#This Row],[Total Challenges]]&gt;0,Table16[[#This Row],[Total Ex-C Clubs]]&gt;0,Table16[[#This Row],[Total Intra-School Sports]]&gt;0,Table16[[#This Row],[Total Inter-School Sports]]&gt;0,Table16[[#This Row],[Community Clubs]]&gt;0),1,0)</f>
        <v>0</v>
      </c>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21"/>
    </row>
    <row r="125" spans="1:218" x14ac:dyDescent="0.25">
      <c r="A125" s="17"/>
      <c r="B125" s="17"/>
      <c r="C125" s="17"/>
      <c r="D125" s="17"/>
      <c r="E125" s="17"/>
      <c r="F125" s="17"/>
      <c r="G125" s="17"/>
      <c r="H125" s="17"/>
      <c r="I125" s="17"/>
      <c r="J125" s="17"/>
      <c r="K125" s="17">
        <f>SUM(Table16[[#This Row],[Challenge 1]:[Challenge 50]])</f>
        <v>0</v>
      </c>
      <c r="L125" s="88">
        <f>SUM(Table16[[#This Row],[Club 1]:[Club 50]])</f>
        <v>0</v>
      </c>
      <c r="M125" s="88">
        <f>SUM(Table16[[#This Row],[Intra-school sports 1]:[Intra-school sports 50]])</f>
        <v>0</v>
      </c>
      <c r="N125" s="88">
        <f>SUM(Table16[[#This Row],[Inter School sports 1]:[Inter School sports 50]])</f>
        <v>0</v>
      </c>
      <c r="O125" s="17">
        <f>COUNTIF(Table16[[#This Row],[Community club (type name of club(s). All clubs will count as ''1'']],"*")</f>
        <v>0</v>
      </c>
      <c r="P125" s="17">
        <f>IF(OR(Table16[[#This Row],[Total Challenges]]&gt;0,Table16[[#This Row],[Total Ex-C Clubs]]&gt;0,Table16[[#This Row],[Total Intra-School Sports]]&gt;0,Table16[[#This Row],[Total Inter-School Sports]]&gt;0,Table16[[#This Row],[Community Clubs]]&gt;0),1,0)</f>
        <v>0</v>
      </c>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21"/>
    </row>
    <row r="126" spans="1:218" x14ac:dyDescent="0.25">
      <c r="A126" s="17"/>
      <c r="B126" s="17"/>
      <c r="C126" s="17"/>
      <c r="D126" s="17"/>
      <c r="E126" s="17"/>
      <c r="F126" s="17"/>
      <c r="G126" s="17"/>
      <c r="H126" s="17"/>
      <c r="I126" s="17"/>
      <c r="J126" s="17"/>
      <c r="K126" s="17">
        <f>SUM(Table16[[#This Row],[Challenge 1]:[Challenge 50]])</f>
        <v>0</v>
      </c>
      <c r="L126" s="88">
        <f>SUM(Table16[[#This Row],[Club 1]:[Club 50]])</f>
        <v>0</v>
      </c>
      <c r="M126" s="88">
        <f>SUM(Table16[[#This Row],[Intra-school sports 1]:[Intra-school sports 50]])</f>
        <v>0</v>
      </c>
      <c r="N126" s="88">
        <f>SUM(Table16[[#This Row],[Inter School sports 1]:[Inter School sports 50]])</f>
        <v>0</v>
      </c>
      <c r="O126" s="17">
        <f>COUNTIF(Table16[[#This Row],[Community club (type name of club(s). All clubs will count as ''1'']],"*")</f>
        <v>0</v>
      </c>
      <c r="P126" s="17">
        <f>IF(OR(Table16[[#This Row],[Total Challenges]]&gt;0,Table16[[#This Row],[Total Ex-C Clubs]]&gt;0,Table16[[#This Row],[Total Intra-School Sports]]&gt;0,Table16[[#This Row],[Total Inter-School Sports]]&gt;0,Table16[[#This Row],[Community Clubs]]&gt;0),1,0)</f>
        <v>0</v>
      </c>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21"/>
    </row>
    <row r="127" spans="1:218" x14ac:dyDescent="0.25">
      <c r="A127" s="17"/>
      <c r="B127" s="17"/>
      <c r="C127" s="17"/>
      <c r="D127" s="17"/>
      <c r="E127" s="17"/>
      <c r="F127" s="17"/>
      <c r="G127" s="17"/>
      <c r="H127" s="17"/>
      <c r="I127" s="17"/>
      <c r="J127" s="17"/>
      <c r="K127" s="17">
        <f>SUM(Table16[[#This Row],[Challenge 1]:[Challenge 50]])</f>
        <v>0</v>
      </c>
      <c r="L127" s="88">
        <f>SUM(Table16[[#This Row],[Club 1]:[Club 50]])</f>
        <v>0</v>
      </c>
      <c r="M127" s="88">
        <f>SUM(Table16[[#This Row],[Intra-school sports 1]:[Intra-school sports 50]])</f>
        <v>0</v>
      </c>
      <c r="N127" s="88">
        <f>SUM(Table16[[#This Row],[Inter School sports 1]:[Inter School sports 50]])</f>
        <v>0</v>
      </c>
      <c r="O127" s="17">
        <f>COUNTIF(Table16[[#This Row],[Community club (type name of club(s). All clubs will count as ''1'']],"*")</f>
        <v>0</v>
      </c>
      <c r="P127" s="17">
        <f>IF(OR(Table16[[#This Row],[Total Challenges]]&gt;0,Table16[[#This Row],[Total Ex-C Clubs]]&gt;0,Table16[[#This Row],[Total Intra-School Sports]]&gt;0,Table16[[#This Row],[Total Inter-School Sports]]&gt;0,Table16[[#This Row],[Community Clubs]]&gt;0),1,0)</f>
        <v>0</v>
      </c>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21"/>
    </row>
    <row r="128" spans="1:218" x14ac:dyDescent="0.25">
      <c r="A128" s="17"/>
      <c r="B128" s="17"/>
      <c r="C128" s="17"/>
      <c r="D128" s="17"/>
      <c r="E128" s="17"/>
      <c r="F128" s="17"/>
      <c r="G128" s="17"/>
      <c r="H128" s="17"/>
      <c r="I128" s="17"/>
      <c r="J128" s="17"/>
      <c r="K128" s="17">
        <f>SUM(Table16[[#This Row],[Challenge 1]:[Challenge 50]])</f>
        <v>0</v>
      </c>
      <c r="L128" s="88">
        <f>SUM(Table16[[#This Row],[Club 1]:[Club 50]])</f>
        <v>0</v>
      </c>
      <c r="M128" s="88">
        <f>SUM(Table16[[#This Row],[Intra-school sports 1]:[Intra-school sports 50]])</f>
        <v>0</v>
      </c>
      <c r="N128" s="88">
        <f>SUM(Table16[[#This Row],[Inter School sports 1]:[Inter School sports 50]])</f>
        <v>0</v>
      </c>
      <c r="O128" s="17">
        <f>COUNTIF(Table16[[#This Row],[Community club (type name of club(s). All clubs will count as ''1'']],"*")</f>
        <v>0</v>
      </c>
      <c r="P128" s="17">
        <f>IF(OR(Table16[[#This Row],[Total Challenges]]&gt;0,Table16[[#This Row],[Total Ex-C Clubs]]&gt;0,Table16[[#This Row],[Total Intra-School Sports]]&gt;0,Table16[[#This Row],[Total Inter-School Sports]]&gt;0,Table16[[#This Row],[Community Clubs]]&gt;0),1,0)</f>
        <v>0</v>
      </c>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21"/>
    </row>
    <row r="129" spans="1:218" x14ac:dyDescent="0.25">
      <c r="A129" s="17"/>
      <c r="B129" s="17"/>
      <c r="C129" s="17"/>
      <c r="D129" s="17"/>
      <c r="E129" s="17"/>
      <c r="F129" s="17"/>
      <c r="G129" s="17"/>
      <c r="H129" s="17"/>
      <c r="I129" s="17"/>
      <c r="J129" s="17"/>
      <c r="K129" s="17">
        <f>SUM(Table16[[#This Row],[Challenge 1]:[Challenge 50]])</f>
        <v>0</v>
      </c>
      <c r="L129" s="88">
        <f>SUM(Table16[[#This Row],[Club 1]:[Club 50]])</f>
        <v>0</v>
      </c>
      <c r="M129" s="88">
        <f>SUM(Table16[[#This Row],[Intra-school sports 1]:[Intra-school sports 50]])</f>
        <v>0</v>
      </c>
      <c r="N129" s="88">
        <f>SUM(Table16[[#This Row],[Inter School sports 1]:[Inter School sports 50]])</f>
        <v>0</v>
      </c>
      <c r="O129" s="17">
        <f>COUNTIF(Table16[[#This Row],[Community club (type name of club(s). All clubs will count as ''1'']],"*")</f>
        <v>0</v>
      </c>
      <c r="P129" s="17">
        <f>IF(OR(Table16[[#This Row],[Total Challenges]]&gt;0,Table16[[#This Row],[Total Ex-C Clubs]]&gt;0,Table16[[#This Row],[Total Intra-School Sports]]&gt;0,Table16[[#This Row],[Total Inter-School Sports]]&gt;0,Table16[[#This Row],[Community Clubs]]&gt;0),1,0)</f>
        <v>0</v>
      </c>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21"/>
    </row>
    <row r="130" spans="1:218" x14ac:dyDescent="0.25">
      <c r="A130" s="17"/>
      <c r="B130" s="17"/>
      <c r="C130" s="17"/>
      <c r="D130" s="17"/>
      <c r="E130" s="17"/>
      <c r="F130" s="17"/>
      <c r="G130" s="17"/>
      <c r="H130" s="17"/>
      <c r="I130" s="17"/>
      <c r="J130" s="17"/>
      <c r="K130" s="17">
        <f>SUM(Table16[[#This Row],[Challenge 1]:[Challenge 50]])</f>
        <v>0</v>
      </c>
      <c r="L130" s="88">
        <f>SUM(Table16[[#This Row],[Club 1]:[Club 50]])</f>
        <v>0</v>
      </c>
      <c r="M130" s="88">
        <f>SUM(Table16[[#This Row],[Intra-school sports 1]:[Intra-school sports 50]])</f>
        <v>0</v>
      </c>
      <c r="N130" s="88">
        <f>SUM(Table16[[#This Row],[Inter School sports 1]:[Inter School sports 50]])</f>
        <v>0</v>
      </c>
      <c r="O130" s="17">
        <f>COUNTIF(Table16[[#This Row],[Community club (type name of club(s). All clubs will count as ''1'']],"*")</f>
        <v>0</v>
      </c>
      <c r="P130" s="17">
        <f>IF(OR(Table16[[#This Row],[Total Challenges]]&gt;0,Table16[[#This Row],[Total Ex-C Clubs]]&gt;0,Table16[[#This Row],[Total Intra-School Sports]]&gt;0,Table16[[#This Row],[Total Inter-School Sports]]&gt;0,Table16[[#This Row],[Community Clubs]]&gt;0),1,0)</f>
        <v>0</v>
      </c>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21"/>
    </row>
    <row r="131" spans="1:218" x14ac:dyDescent="0.25">
      <c r="A131" s="17"/>
      <c r="B131" s="17"/>
      <c r="C131" s="17"/>
      <c r="D131" s="17"/>
      <c r="E131" s="17"/>
      <c r="F131" s="17"/>
      <c r="G131" s="17"/>
      <c r="H131" s="17"/>
      <c r="I131" s="17"/>
      <c r="J131" s="17"/>
      <c r="K131" s="17">
        <f>SUM(Table16[[#This Row],[Challenge 1]:[Challenge 50]])</f>
        <v>0</v>
      </c>
      <c r="L131" s="88">
        <f>SUM(Table16[[#This Row],[Club 1]:[Club 50]])</f>
        <v>0</v>
      </c>
      <c r="M131" s="88">
        <f>SUM(Table16[[#This Row],[Intra-school sports 1]:[Intra-school sports 50]])</f>
        <v>0</v>
      </c>
      <c r="N131" s="88">
        <f>SUM(Table16[[#This Row],[Inter School sports 1]:[Inter School sports 50]])</f>
        <v>0</v>
      </c>
      <c r="O131" s="17">
        <f>COUNTIF(Table16[[#This Row],[Community club (type name of club(s). All clubs will count as ''1'']],"*")</f>
        <v>0</v>
      </c>
      <c r="P131" s="17">
        <f>IF(OR(Table16[[#This Row],[Total Challenges]]&gt;0,Table16[[#This Row],[Total Ex-C Clubs]]&gt;0,Table16[[#This Row],[Total Intra-School Sports]]&gt;0,Table16[[#This Row],[Total Inter-School Sports]]&gt;0,Table16[[#This Row],[Community Clubs]]&gt;0),1,0)</f>
        <v>0</v>
      </c>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21"/>
    </row>
    <row r="132" spans="1:218" x14ac:dyDescent="0.25">
      <c r="A132" s="17"/>
      <c r="B132" s="17"/>
      <c r="C132" s="17"/>
      <c r="D132" s="17"/>
      <c r="E132" s="17"/>
      <c r="F132" s="17"/>
      <c r="G132" s="17"/>
      <c r="H132" s="17"/>
      <c r="I132" s="17"/>
      <c r="J132" s="17"/>
      <c r="K132" s="17">
        <f>SUM(Table16[[#This Row],[Challenge 1]:[Challenge 50]])</f>
        <v>0</v>
      </c>
      <c r="L132" s="88">
        <f>SUM(Table16[[#This Row],[Club 1]:[Club 50]])</f>
        <v>0</v>
      </c>
      <c r="M132" s="88">
        <f>SUM(Table16[[#This Row],[Intra-school sports 1]:[Intra-school sports 50]])</f>
        <v>0</v>
      </c>
      <c r="N132" s="88">
        <f>SUM(Table16[[#This Row],[Inter School sports 1]:[Inter School sports 50]])</f>
        <v>0</v>
      </c>
      <c r="O132" s="17">
        <f>COUNTIF(Table16[[#This Row],[Community club (type name of club(s). All clubs will count as ''1'']],"*")</f>
        <v>0</v>
      </c>
      <c r="P132" s="17">
        <f>IF(OR(Table16[[#This Row],[Total Challenges]]&gt;0,Table16[[#This Row],[Total Ex-C Clubs]]&gt;0,Table16[[#This Row],[Total Intra-School Sports]]&gt;0,Table16[[#This Row],[Total Inter-School Sports]]&gt;0,Table16[[#This Row],[Community Clubs]]&gt;0),1,0)</f>
        <v>0</v>
      </c>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21"/>
    </row>
    <row r="133" spans="1:218" x14ac:dyDescent="0.25">
      <c r="A133" s="17"/>
      <c r="B133" s="17"/>
      <c r="C133" s="17"/>
      <c r="D133" s="17"/>
      <c r="E133" s="17"/>
      <c r="F133" s="17"/>
      <c r="G133" s="17"/>
      <c r="H133" s="17"/>
      <c r="I133" s="17"/>
      <c r="J133" s="17"/>
      <c r="K133" s="17">
        <f>SUM(Table16[[#This Row],[Challenge 1]:[Challenge 50]])</f>
        <v>0</v>
      </c>
      <c r="L133" s="88">
        <f>SUM(Table16[[#This Row],[Club 1]:[Club 50]])</f>
        <v>0</v>
      </c>
      <c r="M133" s="88">
        <f>SUM(Table16[[#This Row],[Intra-school sports 1]:[Intra-school sports 50]])</f>
        <v>0</v>
      </c>
      <c r="N133" s="88">
        <f>SUM(Table16[[#This Row],[Inter School sports 1]:[Inter School sports 50]])</f>
        <v>0</v>
      </c>
      <c r="O133" s="17">
        <f>COUNTIF(Table16[[#This Row],[Community club (type name of club(s). All clubs will count as ''1'']],"*")</f>
        <v>0</v>
      </c>
      <c r="P133" s="17">
        <f>IF(OR(Table16[[#This Row],[Total Challenges]]&gt;0,Table16[[#This Row],[Total Ex-C Clubs]]&gt;0,Table16[[#This Row],[Total Intra-School Sports]]&gt;0,Table16[[#This Row],[Total Inter-School Sports]]&gt;0,Table16[[#This Row],[Community Clubs]]&gt;0),1,0)</f>
        <v>0</v>
      </c>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21"/>
    </row>
    <row r="134" spans="1:218" x14ac:dyDescent="0.25">
      <c r="A134" s="17"/>
      <c r="B134" s="17"/>
      <c r="C134" s="17"/>
      <c r="D134" s="17"/>
      <c r="E134" s="17"/>
      <c r="F134" s="17"/>
      <c r="G134" s="17"/>
      <c r="H134" s="17"/>
      <c r="I134" s="17"/>
      <c r="J134" s="17"/>
      <c r="K134" s="17">
        <f>SUM(Table16[[#This Row],[Challenge 1]:[Challenge 50]])</f>
        <v>0</v>
      </c>
      <c r="L134" s="88">
        <f>SUM(Table16[[#This Row],[Club 1]:[Club 50]])</f>
        <v>0</v>
      </c>
      <c r="M134" s="88">
        <f>SUM(Table16[[#This Row],[Intra-school sports 1]:[Intra-school sports 50]])</f>
        <v>0</v>
      </c>
      <c r="N134" s="88">
        <f>SUM(Table16[[#This Row],[Inter School sports 1]:[Inter School sports 50]])</f>
        <v>0</v>
      </c>
      <c r="O134" s="17">
        <f>COUNTIF(Table16[[#This Row],[Community club (type name of club(s). All clubs will count as ''1'']],"*")</f>
        <v>0</v>
      </c>
      <c r="P134" s="17">
        <f>IF(OR(Table16[[#This Row],[Total Challenges]]&gt;0,Table16[[#This Row],[Total Ex-C Clubs]]&gt;0,Table16[[#This Row],[Total Intra-School Sports]]&gt;0,Table16[[#This Row],[Total Inter-School Sports]]&gt;0,Table16[[#This Row],[Community Clubs]]&gt;0),1,0)</f>
        <v>0</v>
      </c>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21"/>
    </row>
    <row r="135" spans="1:218" x14ac:dyDescent="0.25">
      <c r="A135" s="17"/>
      <c r="B135" s="17"/>
      <c r="C135" s="17"/>
      <c r="D135" s="17"/>
      <c r="E135" s="17"/>
      <c r="F135" s="17"/>
      <c r="G135" s="17"/>
      <c r="H135" s="17"/>
      <c r="I135" s="17"/>
      <c r="J135" s="17"/>
      <c r="K135" s="17">
        <f>SUM(Table16[[#This Row],[Challenge 1]:[Challenge 50]])</f>
        <v>0</v>
      </c>
      <c r="L135" s="88">
        <f>SUM(Table16[[#This Row],[Club 1]:[Club 50]])</f>
        <v>0</v>
      </c>
      <c r="M135" s="88">
        <f>SUM(Table16[[#This Row],[Intra-school sports 1]:[Intra-school sports 50]])</f>
        <v>0</v>
      </c>
      <c r="N135" s="88">
        <f>SUM(Table16[[#This Row],[Inter School sports 1]:[Inter School sports 50]])</f>
        <v>0</v>
      </c>
      <c r="O135" s="17">
        <f>COUNTIF(Table16[[#This Row],[Community club (type name of club(s). All clubs will count as ''1'']],"*")</f>
        <v>0</v>
      </c>
      <c r="P135" s="17">
        <f>IF(OR(Table16[[#This Row],[Total Challenges]]&gt;0,Table16[[#This Row],[Total Ex-C Clubs]]&gt;0,Table16[[#This Row],[Total Intra-School Sports]]&gt;0,Table16[[#This Row],[Total Inter-School Sports]]&gt;0,Table16[[#This Row],[Community Clubs]]&gt;0),1,0)</f>
        <v>0</v>
      </c>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21"/>
    </row>
    <row r="136" spans="1:218" x14ac:dyDescent="0.25">
      <c r="A136" s="17"/>
      <c r="B136" s="17"/>
      <c r="C136" s="17"/>
      <c r="D136" s="17"/>
      <c r="E136" s="17"/>
      <c r="F136" s="17"/>
      <c r="G136" s="17"/>
      <c r="H136" s="17"/>
      <c r="I136" s="17"/>
      <c r="J136" s="17"/>
      <c r="K136" s="17">
        <f>SUM(Table16[[#This Row],[Challenge 1]:[Challenge 50]])</f>
        <v>0</v>
      </c>
      <c r="L136" s="88">
        <f>SUM(Table16[[#This Row],[Club 1]:[Club 50]])</f>
        <v>0</v>
      </c>
      <c r="M136" s="88">
        <f>SUM(Table16[[#This Row],[Intra-school sports 1]:[Intra-school sports 50]])</f>
        <v>0</v>
      </c>
      <c r="N136" s="88">
        <f>SUM(Table16[[#This Row],[Inter School sports 1]:[Inter School sports 50]])</f>
        <v>0</v>
      </c>
      <c r="O136" s="17">
        <f>COUNTIF(Table16[[#This Row],[Community club (type name of club(s). All clubs will count as ''1'']],"*")</f>
        <v>0</v>
      </c>
      <c r="P136" s="17">
        <f>IF(OR(Table16[[#This Row],[Total Challenges]]&gt;0,Table16[[#This Row],[Total Ex-C Clubs]]&gt;0,Table16[[#This Row],[Total Intra-School Sports]]&gt;0,Table16[[#This Row],[Total Inter-School Sports]]&gt;0,Table16[[#This Row],[Community Clubs]]&gt;0),1,0)</f>
        <v>0</v>
      </c>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21"/>
    </row>
    <row r="137" spans="1:218" x14ac:dyDescent="0.25">
      <c r="A137" s="17"/>
      <c r="B137" s="17"/>
      <c r="C137" s="17"/>
      <c r="D137" s="17"/>
      <c r="E137" s="17"/>
      <c r="F137" s="17"/>
      <c r="G137" s="17"/>
      <c r="H137" s="17"/>
      <c r="I137" s="17"/>
      <c r="J137" s="17"/>
      <c r="K137" s="17">
        <f>SUM(Table16[[#This Row],[Challenge 1]:[Challenge 50]])</f>
        <v>0</v>
      </c>
      <c r="L137" s="88">
        <f>SUM(Table16[[#This Row],[Club 1]:[Club 50]])</f>
        <v>0</v>
      </c>
      <c r="M137" s="88">
        <f>SUM(Table16[[#This Row],[Intra-school sports 1]:[Intra-school sports 50]])</f>
        <v>0</v>
      </c>
      <c r="N137" s="88">
        <f>SUM(Table16[[#This Row],[Inter School sports 1]:[Inter School sports 50]])</f>
        <v>0</v>
      </c>
      <c r="O137" s="17">
        <f>COUNTIF(Table16[[#This Row],[Community club (type name of club(s). All clubs will count as ''1'']],"*")</f>
        <v>0</v>
      </c>
      <c r="P137" s="17">
        <f>IF(OR(Table16[[#This Row],[Total Challenges]]&gt;0,Table16[[#This Row],[Total Ex-C Clubs]]&gt;0,Table16[[#This Row],[Total Intra-School Sports]]&gt;0,Table16[[#This Row],[Total Inter-School Sports]]&gt;0,Table16[[#This Row],[Community Clubs]]&gt;0),1,0)</f>
        <v>0</v>
      </c>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21"/>
    </row>
    <row r="138" spans="1:218" x14ac:dyDescent="0.25">
      <c r="A138" s="17"/>
      <c r="B138" s="17"/>
      <c r="C138" s="17"/>
      <c r="D138" s="17"/>
      <c r="E138" s="17"/>
      <c r="F138" s="17"/>
      <c r="G138" s="17"/>
      <c r="H138" s="17"/>
      <c r="I138" s="17"/>
      <c r="J138" s="17"/>
      <c r="K138" s="17">
        <f>SUM(Table16[[#This Row],[Challenge 1]:[Challenge 50]])</f>
        <v>0</v>
      </c>
      <c r="L138" s="88">
        <f>SUM(Table16[[#This Row],[Club 1]:[Club 50]])</f>
        <v>0</v>
      </c>
      <c r="M138" s="88">
        <f>SUM(Table16[[#This Row],[Intra-school sports 1]:[Intra-school sports 50]])</f>
        <v>0</v>
      </c>
      <c r="N138" s="88">
        <f>SUM(Table16[[#This Row],[Inter School sports 1]:[Inter School sports 50]])</f>
        <v>0</v>
      </c>
      <c r="O138" s="17">
        <f>COUNTIF(Table16[[#This Row],[Community club (type name of club(s). All clubs will count as ''1'']],"*")</f>
        <v>0</v>
      </c>
      <c r="P138" s="17">
        <f>IF(OR(Table16[[#This Row],[Total Challenges]]&gt;0,Table16[[#This Row],[Total Ex-C Clubs]]&gt;0,Table16[[#This Row],[Total Intra-School Sports]]&gt;0,Table16[[#This Row],[Total Inter-School Sports]]&gt;0,Table16[[#This Row],[Community Clubs]]&gt;0),1,0)</f>
        <v>0</v>
      </c>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21"/>
    </row>
    <row r="139" spans="1:218" x14ac:dyDescent="0.25">
      <c r="A139" s="17"/>
      <c r="B139" s="17"/>
      <c r="C139" s="17"/>
      <c r="D139" s="17"/>
      <c r="E139" s="17"/>
      <c r="F139" s="17"/>
      <c r="G139" s="17"/>
      <c r="H139" s="17"/>
      <c r="I139" s="17"/>
      <c r="J139" s="17"/>
      <c r="K139" s="17">
        <f>SUM(Table16[[#This Row],[Challenge 1]:[Challenge 50]])</f>
        <v>0</v>
      </c>
      <c r="L139" s="88">
        <f>SUM(Table16[[#This Row],[Club 1]:[Club 50]])</f>
        <v>0</v>
      </c>
      <c r="M139" s="88">
        <f>SUM(Table16[[#This Row],[Intra-school sports 1]:[Intra-school sports 50]])</f>
        <v>0</v>
      </c>
      <c r="N139" s="88">
        <f>SUM(Table16[[#This Row],[Inter School sports 1]:[Inter School sports 50]])</f>
        <v>0</v>
      </c>
      <c r="O139" s="17">
        <f>COUNTIF(Table16[[#This Row],[Community club (type name of club(s). All clubs will count as ''1'']],"*")</f>
        <v>0</v>
      </c>
      <c r="P139" s="17">
        <f>IF(OR(Table16[[#This Row],[Total Challenges]]&gt;0,Table16[[#This Row],[Total Ex-C Clubs]]&gt;0,Table16[[#This Row],[Total Intra-School Sports]]&gt;0,Table16[[#This Row],[Total Inter-School Sports]]&gt;0,Table16[[#This Row],[Community Clubs]]&gt;0),1,0)</f>
        <v>0</v>
      </c>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21"/>
    </row>
    <row r="140" spans="1:218" x14ac:dyDescent="0.25">
      <c r="A140" s="17"/>
      <c r="B140" s="17"/>
      <c r="C140" s="17"/>
      <c r="D140" s="17"/>
      <c r="E140" s="17"/>
      <c r="F140" s="17"/>
      <c r="G140" s="17"/>
      <c r="H140" s="17"/>
      <c r="I140" s="17"/>
      <c r="J140" s="17"/>
      <c r="K140" s="17">
        <f>SUM(Table16[[#This Row],[Challenge 1]:[Challenge 50]])</f>
        <v>0</v>
      </c>
      <c r="L140" s="88">
        <f>SUM(Table16[[#This Row],[Club 1]:[Club 50]])</f>
        <v>0</v>
      </c>
      <c r="M140" s="88">
        <f>SUM(Table16[[#This Row],[Intra-school sports 1]:[Intra-school sports 50]])</f>
        <v>0</v>
      </c>
      <c r="N140" s="88">
        <f>SUM(Table16[[#This Row],[Inter School sports 1]:[Inter School sports 50]])</f>
        <v>0</v>
      </c>
      <c r="O140" s="17">
        <f>COUNTIF(Table16[[#This Row],[Community club (type name of club(s). All clubs will count as ''1'']],"*")</f>
        <v>0</v>
      </c>
      <c r="P140" s="17">
        <f>IF(OR(Table16[[#This Row],[Total Challenges]]&gt;0,Table16[[#This Row],[Total Ex-C Clubs]]&gt;0,Table16[[#This Row],[Total Intra-School Sports]]&gt;0,Table16[[#This Row],[Total Inter-School Sports]]&gt;0,Table16[[#This Row],[Community Clubs]]&gt;0),1,0)</f>
        <v>0</v>
      </c>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21"/>
    </row>
    <row r="141" spans="1:218" x14ac:dyDescent="0.25">
      <c r="A141" s="17"/>
      <c r="B141" s="17"/>
      <c r="C141" s="17"/>
      <c r="D141" s="17"/>
      <c r="E141" s="17"/>
      <c r="F141" s="17"/>
      <c r="G141" s="17"/>
      <c r="H141" s="17"/>
      <c r="I141" s="17"/>
      <c r="J141" s="17"/>
      <c r="K141" s="17">
        <f>SUM(Table16[[#This Row],[Challenge 1]:[Challenge 50]])</f>
        <v>0</v>
      </c>
      <c r="L141" s="88">
        <f>SUM(Table16[[#This Row],[Club 1]:[Club 50]])</f>
        <v>0</v>
      </c>
      <c r="M141" s="88">
        <f>SUM(Table16[[#This Row],[Intra-school sports 1]:[Intra-school sports 50]])</f>
        <v>0</v>
      </c>
      <c r="N141" s="88">
        <f>SUM(Table16[[#This Row],[Inter School sports 1]:[Inter School sports 50]])</f>
        <v>0</v>
      </c>
      <c r="O141" s="17">
        <f>COUNTIF(Table16[[#This Row],[Community club (type name of club(s). All clubs will count as ''1'']],"*")</f>
        <v>0</v>
      </c>
      <c r="P141" s="17">
        <f>IF(OR(Table16[[#This Row],[Total Challenges]]&gt;0,Table16[[#This Row],[Total Ex-C Clubs]]&gt;0,Table16[[#This Row],[Total Intra-School Sports]]&gt;0,Table16[[#This Row],[Total Inter-School Sports]]&gt;0,Table16[[#This Row],[Community Clubs]]&gt;0),1,0)</f>
        <v>0</v>
      </c>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21"/>
    </row>
    <row r="142" spans="1:218" x14ac:dyDescent="0.25">
      <c r="A142" s="17"/>
      <c r="B142" s="17"/>
      <c r="C142" s="17"/>
      <c r="D142" s="17"/>
      <c r="E142" s="17"/>
      <c r="F142" s="17"/>
      <c r="G142" s="17"/>
      <c r="H142" s="17"/>
      <c r="I142" s="17"/>
      <c r="J142" s="17"/>
      <c r="K142" s="17">
        <f>SUM(Table16[[#This Row],[Challenge 1]:[Challenge 50]])</f>
        <v>0</v>
      </c>
      <c r="L142" s="88">
        <f>SUM(Table16[[#This Row],[Club 1]:[Club 50]])</f>
        <v>0</v>
      </c>
      <c r="M142" s="88">
        <f>SUM(Table16[[#This Row],[Intra-school sports 1]:[Intra-school sports 50]])</f>
        <v>0</v>
      </c>
      <c r="N142" s="88">
        <f>SUM(Table16[[#This Row],[Inter School sports 1]:[Inter School sports 50]])</f>
        <v>0</v>
      </c>
      <c r="O142" s="17">
        <f>COUNTIF(Table16[[#This Row],[Community club (type name of club(s). All clubs will count as ''1'']],"*")</f>
        <v>0</v>
      </c>
      <c r="P142" s="17">
        <f>IF(OR(Table16[[#This Row],[Total Challenges]]&gt;0,Table16[[#This Row],[Total Ex-C Clubs]]&gt;0,Table16[[#This Row],[Total Intra-School Sports]]&gt;0,Table16[[#This Row],[Total Inter-School Sports]]&gt;0,Table16[[#This Row],[Community Clubs]]&gt;0),1,0)</f>
        <v>0</v>
      </c>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21"/>
    </row>
    <row r="143" spans="1:218" x14ac:dyDescent="0.25">
      <c r="A143" s="17"/>
      <c r="B143" s="17"/>
      <c r="C143" s="17"/>
      <c r="D143" s="17"/>
      <c r="E143" s="17"/>
      <c r="F143" s="17"/>
      <c r="G143" s="17"/>
      <c r="H143" s="17"/>
      <c r="I143" s="17"/>
      <c r="J143" s="17"/>
      <c r="K143" s="17">
        <f>SUM(Table16[[#This Row],[Challenge 1]:[Challenge 50]])</f>
        <v>0</v>
      </c>
      <c r="L143" s="88">
        <f>SUM(Table16[[#This Row],[Club 1]:[Club 50]])</f>
        <v>0</v>
      </c>
      <c r="M143" s="88">
        <f>SUM(Table16[[#This Row],[Intra-school sports 1]:[Intra-school sports 50]])</f>
        <v>0</v>
      </c>
      <c r="N143" s="88">
        <f>SUM(Table16[[#This Row],[Inter School sports 1]:[Inter School sports 50]])</f>
        <v>0</v>
      </c>
      <c r="O143" s="17">
        <f>COUNTIF(Table16[[#This Row],[Community club (type name of club(s). All clubs will count as ''1'']],"*")</f>
        <v>0</v>
      </c>
      <c r="P143" s="17">
        <f>IF(OR(Table16[[#This Row],[Total Challenges]]&gt;0,Table16[[#This Row],[Total Ex-C Clubs]]&gt;0,Table16[[#This Row],[Total Intra-School Sports]]&gt;0,Table16[[#This Row],[Total Inter-School Sports]]&gt;0,Table16[[#This Row],[Community Clubs]]&gt;0),1,0)</f>
        <v>0</v>
      </c>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21"/>
    </row>
    <row r="144" spans="1:218" x14ac:dyDescent="0.25">
      <c r="A144" s="17"/>
      <c r="B144" s="17"/>
      <c r="C144" s="17"/>
      <c r="D144" s="17"/>
      <c r="E144" s="17"/>
      <c r="F144" s="17"/>
      <c r="G144" s="17"/>
      <c r="H144" s="17"/>
      <c r="I144" s="17"/>
      <c r="J144" s="17"/>
      <c r="K144" s="17">
        <f>SUM(Table16[[#This Row],[Challenge 1]:[Challenge 50]])</f>
        <v>0</v>
      </c>
      <c r="L144" s="88">
        <f>SUM(Table16[[#This Row],[Club 1]:[Club 50]])</f>
        <v>0</v>
      </c>
      <c r="M144" s="88">
        <f>SUM(Table16[[#This Row],[Intra-school sports 1]:[Intra-school sports 50]])</f>
        <v>0</v>
      </c>
      <c r="N144" s="88">
        <f>SUM(Table16[[#This Row],[Inter School sports 1]:[Inter School sports 50]])</f>
        <v>0</v>
      </c>
      <c r="O144" s="17">
        <f>COUNTIF(Table16[[#This Row],[Community club (type name of club(s). All clubs will count as ''1'']],"*")</f>
        <v>0</v>
      </c>
      <c r="P144" s="17">
        <f>IF(OR(Table16[[#This Row],[Total Challenges]]&gt;0,Table16[[#This Row],[Total Ex-C Clubs]]&gt;0,Table16[[#This Row],[Total Intra-School Sports]]&gt;0,Table16[[#This Row],[Total Inter-School Sports]]&gt;0,Table16[[#This Row],[Community Clubs]]&gt;0),1,0)</f>
        <v>0</v>
      </c>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21"/>
    </row>
    <row r="145" spans="1:218" x14ac:dyDescent="0.25">
      <c r="A145" s="17"/>
      <c r="B145" s="17"/>
      <c r="C145" s="17"/>
      <c r="D145" s="17"/>
      <c r="E145" s="17"/>
      <c r="F145" s="17"/>
      <c r="G145" s="17"/>
      <c r="H145" s="17"/>
      <c r="I145" s="17"/>
      <c r="J145" s="17"/>
      <c r="K145" s="17">
        <f>SUM(Table16[[#This Row],[Challenge 1]:[Challenge 50]])</f>
        <v>0</v>
      </c>
      <c r="L145" s="88">
        <f>SUM(Table16[[#This Row],[Club 1]:[Club 50]])</f>
        <v>0</v>
      </c>
      <c r="M145" s="88">
        <f>SUM(Table16[[#This Row],[Intra-school sports 1]:[Intra-school sports 50]])</f>
        <v>0</v>
      </c>
      <c r="N145" s="88">
        <f>SUM(Table16[[#This Row],[Inter School sports 1]:[Inter School sports 50]])</f>
        <v>0</v>
      </c>
      <c r="O145" s="17">
        <f>COUNTIF(Table16[[#This Row],[Community club (type name of club(s). All clubs will count as ''1'']],"*")</f>
        <v>0</v>
      </c>
      <c r="P145" s="17">
        <f>IF(OR(Table16[[#This Row],[Total Challenges]]&gt;0,Table16[[#This Row],[Total Ex-C Clubs]]&gt;0,Table16[[#This Row],[Total Intra-School Sports]]&gt;0,Table16[[#This Row],[Total Inter-School Sports]]&gt;0,Table16[[#This Row],[Community Clubs]]&gt;0),1,0)</f>
        <v>0</v>
      </c>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21"/>
    </row>
    <row r="146" spans="1:218" x14ac:dyDescent="0.25">
      <c r="A146" s="17"/>
      <c r="B146" s="17"/>
      <c r="C146" s="17"/>
      <c r="D146" s="17"/>
      <c r="E146" s="17"/>
      <c r="F146" s="17"/>
      <c r="G146" s="17"/>
      <c r="H146" s="17"/>
      <c r="I146" s="17"/>
      <c r="J146" s="17"/>
      <c r="K146" s="17">
        <f>SUM(Table16[[#This Row],[Challenge 1]:[Challenge 50]])</f>
        <v>0</v>
      </c>
      <c r="L146" s="88">
        <f>SUM(Table16[[#This Row],[Club 1]:[Club 50]])</f>
        <v>0</v>
      </c>
      <c r="M146" s="88">
        <f>SUM(Table16[[#This Row],[Intra-school sports 1]:[Intra-school sports 50]])</f>
        <v>0</v>
      </c>
      <c r="N146" s="88">
        <f>SUM(Table16[[#This Row],[Inter School sports 1]:[Inter School sports 50]])</f>
        <v>0</v>
      </c>
      <c r="O146" s="17">
        <f>COUNTIF(Table16[[#This Row],[Community club (type name of club(s). All clubs will count as ''1'']],"*")</f>
        <v>0</v>
      </c>
      <c r="P146" s="17">
        <f>IF(OR(Table16[[#This Row],[Total Challenges]]&gt;0,Table16[[#This Row],[Total Ex-C Clubs]]&gt;0,Table16[[#This Row],[Total Intra-School Sports]]&gt;0,Table16[[#This Row],[Total Inter-School Sports]]&gt;0,Table16[[#This Row],[Community Clubs]]&gt;0),1,0)</f>
        <v>0</v>
      </c>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21"/>
    </row>
    <row r="147" spans="1:218" x14ac:dyDescent="0.25">
      <c r="A147" s="17"/>
      <c r="B147" s="17"/>
      <c r="C147" s="17"/>
      <c r="D147" s="17"/>
      <c r="E147" s="17"/>
      <c r="F147" s="17"/>
      <c r="G147" s="17"/>
      <c r="H147" s="17"/>
      <c r="I147" s="17"/>
      <c r="J147" s="17"/>
      <c r="K147" s="17">
        <f>SUM(Table16[[#This Row],[Challenge 1]:[Challenge 50]])</f>
        <v>0</v>
      </c>
      <c r="L147" s="88">
        <f>SUM(Table16[[#This Row],[Club 1]:[Club 50]])</f>
        <v>0</v>
      </c>
      <c r="M147" s="88">
        <f>SUM(Table16[[#This Row],[Intra-school sports 1]:[Intra-school sports 50]])</f>
        <v>0</v>
      </c>
      <c r="N147" s="88">
        <f>SUM(Table16[[#This Row],[Inter School sports 1]:[Inter School sports 50]])</f>
        <v>0</v>
      </c>
      <c r="O147" s="17">
        <f>COUNTIF(Table16[[#This Row],[Community club (type name of club(s). All clubs will count as ''1'']],"*")</f>
        <v>0</v>
      </c>
      <c r="P147" s="17">
        <f>IF(OR(Table16[[#This Row],[Total Challenges]]&gt;0,Table16[[#This Row],[Total Ex-C Clubs]]&gt;0,Table16[[#This Row],[Total Intra-School Sports]]&gt;0,Table16[[#This Row],[Total Inter-School Sports]]&gt;0,Table16[[#This Row],[Community Clubs]]&gt;0),1,0)</f>
        <v>0</v>
      </c>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21"/>
    </row>
    <row r="148" spans="1:218" x14ac:dyDescent="0.25">
      <c r="A148" s="17"/>
      <c r="B148" s="17"/>
      <c r="C148" s="17"/>
      <c r="D148" s="17"/>
      <c r="E148" s="17"/>
      <c r="F148" s="17"/>
      <c r="G148" s="17"/>
      <c r="H148" s="17"/>
      <c r="I148" s="17"/>
      <c r="J148" s="17"/>
      <c r="K148" s="17">
        <f>SUM(Table16[[#This Row],[Challenge 1]:[Challenge 50]])</f>
        <v>0</v>
      </c>
      <c r="L148" s="88">
        <f>SUM(Table16[[#This Row],[Club 1]:[Club 50]])</f>
        <v>0</v>
      </c>
      <c r="M148" s="88">
        <f>SUM(Table16[[#This Row],[Intra-school sports 1]:[Intra-school sports 50]])</f>
        <v>0</v>
      </c>
      <c r="N148" s="88">
        <f>SUM(Table16[[#This Row],[Inter School sports 1]:[Inter School sports 50]])</f>
        <v>0</v>
      </c>
      <c r="O148" s="17">
        <f>COUNTIF(Table16[[#This Row],[Community club (type name of club(s). All clubs will count as ''1'']],"*")</f>
        <v>0</v>
      </c>
      <c r="P148" s="17">
        <f>IF(OR(Table16[[#This Row],[Total Challenges]]&gt;0,Table16[[#This Row],[Total Ex-C Clubs]]&gt;0,Table16[[#This Row],[Total Intra-School Sports]]&gt;0,Table16[[#This Row],[Total Inter-School Sports]]&gt;0,Table16[[#This Row],[Community Clubs]]&gt;0),1,0)</f>
        <v>0</v>
      </c>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21"/>
    </row>
    <row r="149" spans="1:218" x14ac:dyDescent="0.25">
      <c r="A149" s="17"/>
      <c r="B149" s="17"/>
      <c r="C149" s="17"/>
      <c r="D149" s="17"/>
      <c r="E149" s="17"/>
      <c r="F149" s="17"/>
      <c r="G149" s="17"/>
      <c r="H149" s="17"/>
      <c r="I149" s="17"/>
      <c r="J149" s="17"/>
      <c r="K149" s="17">
        <f>SUM(Table16[[#This Row],[Challenge 1]:[Challenge 50]])</f>
        <v>0</v>
      </c>
      <c r="L149" s="88">
        <f>SUM(Table16[[#This Row],[Club 1]:[Club 50]])</f>
        <v>0</v>
      </c>
      <c r="M149" s="88">
        <f>SUM(Table16[[#This Row],[Intra-school sports 1]:[Intra-school sports 50]])</f>
        <v>0</v>
      </c>
      <c r="N149" s="88">
        <f>SUM(Table16[[#This Row],[Inter School sports 1]:[Inter School sports 50]])</f>
        <v>0</v>
      </c>
      <c r="O149" s="17">
        <f>COUNTIF(Table16[[#This Row],[Community club (type name of club(s). All clubs will count as ''1'']],"*")</f>
        <v>0</v>
      </c>
      <c r="P149" s="17">
        <f>IF(OR(Table16[[#This Row],[Total Challenges]]&gt;0,Table16[[#This Row],[Total Ex-C Clubs]]&gt;0,Table16[[#This Row],[Total Intra-School Sports]]&gt;0,Table16[[#This Row],[Total Inter-School Sports]]&gt;0,Table16[[#This Row],[Community Clubs]]&gt;0),1,0)</f>
        <v>0</v>
      </c>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21"/>
    </row>
    <row r="150" spans="1:218" x14ac:dyDescent="0.25">
      <c r="A150" s="17"/>
      <c r="B150" s="17"/>
      <c r="C150" s="17"/>
      <c r="D150" s="17"/>
      <c r="E150" s="17"/>
      <c r="F150" s="17"/>
      <c r="G150" s="17"/>
      <c r="H150" s="17"/>
      <c r="I150" s="17"/>
      <c r="J150" s="17"/>
      <c r="K150" s="17">
        <f>SUM(Table16[[#This Row],[Challenge 1]:[Challenge 50]])</f>
        <v>0</v>
      </c>
      <c r="L150" s="88">
        <f>SUM(Table16[[#This Row],[Club 1]:[Club 50]])</f>
        <v>0</v>
      </c>
      <c r="M150" s="88">
        <f>SUM(Table16[[#This Row],[Intra-school sports 1]:[Intra-school sports 50]])</f>
        <v>0</v>
      </c>
      <c r="N150" s="88">
        <f>SUM(Table16[[#This Row],[Inter School sports 1]:[Inter School sports 50]])</f>
        <v>0</v>
      </c>
      <c r="O150" s="17">
        <f>COUNTIF(Table16[[#This Row],[Community club (type name of club(s). All clubs will count as ''1'']],"*")</f>
        <v>0</v>
      </c>
      <c r="P150" s="17">
        <f>IF(OR(Table16[[#This Row],[Total Challenges]]&gt;0,Table16[[#This Row],[Total Ex-C Clubs]]&gt;0,Table16[[#This Row],[Total Intra-School Sports]]&gt;0,Table16[[#This Row],[Total Inter-School Sports]]&gt;0,Table16[[#This Row],[Community Clubs]]&gt;0),1,0)</f>
        <v>0</v>
      </c>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21"/>
    </row>
    <row r="151" spans="1:218" x14ac:dyDescent="0.25">
      <c r="A151" s="17"/>
      <c r="B151" s="17"/>
      <c r="C151" s="17"/>
      <c r="D151" s="17"/>
      <c r="E151" s="17"/>
      <c r="F151" s="17"/>
      <c r="G151" s="17"/>
      <c r="H151" s="17"/>
      <c r="I151" s="17"/>
      <c r="J151" s="17"/>
      <c r="K151" s="17">
        <f>SUM(Table16[[#This Row],[Challenge 1]:[Challenge 50]])</f>
        <v>0</v>
      </c>
      <c r="L151" s="88">
        <f>SUM(Table16[[#This Row],[Club 1]:[Club 50]])</f>
        <v>0</v>
      </c>
      <c r="M151" s="88">
        <f>SUM(Table16[[#This Row],[Intra-school sports 1]:[Intra-school sports 50]])</f>
        <v>0</v>
      </c>
      <c r="N151" s="88">
        <f>SUM(Table16[[#This Row],[Inter School sports 1]:[Inter School sports 50]])</f>
        <v>0</v>
      </c>
      <c r="O151" s="17">
        <f>COUNTIF(Table16[[#This Row],[Community club (type name of club(s). All clubs will count as ''1'']],"*")</f>
        <v>0</v>
      </c>
      <c r="P151" s="17">
        <f>IF(OR(Table16[[#This Row],[Total Challenges]]&gt;0,Table16[[#This Row],[Total Ex-C Clubs]]&gt;0,Table16[[#This Row],[Total Intra-School Sports]]&gt;0,Table16[[#This Row],[Total Inter-School Sports]]&gt;0,Table16[[#This Row],[Community Clubs]]&gt;0),1,0)</f>
        <v>0</v>
      </c>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21"/>
    </row>
    <row r="152" spans="1:218" x14ac:dyDescent="0.25">
      <c r="A152" s="17"/>
      <c r="B152" s="17"/>
      <c r="C152" s="17"/>
      <c r="D152" s="17"/>
      <c r="E152" s="17"/>
      <c r="F152" s="17"/>
      <c r="G152" s="17"/>
      <c r="H152" s="17"/>
      <c r="I152" s="17"/>
      <c r="J152" s="17"/>
      <c r="K152" s="17">
        <f>SUM(Table16[[#This Row],[Challenge 1]:[Challenge 50]])</f>
        <v>0</v>
      </c>
      <c r="L152" s="88">
        <f>SUM(Table16[[#This Row],[Club 1]:[Club 50]])</f>
        <v>0</v>
      </c>
      <c r="M152" s="88">
        <f>SUM(Table16[[#This Row],[Intra-school sports 1]:[Intra-school sports 50]])</f>
        <v>0</v>
      </c>
      <c r="N152" s="88">
        <f>SUM(Table16[[#This Row],[Inter School sports 1]:[Inter School sports 50]])</f>
        <v>0</v>
      </c>
      <c r="O152" s="17">
        <f>COUNTIF(Table16[[#This Row],[Community club (type name of club(s). All clubs will count as ''1'']],"*")</f>
        <v>0</v>
      </c>
      <c r="P152" s="17">
        <f>IF(OR(Table16[[#This Row],[Total Challenges]]&gt;0,Table16[[#This Row],[Total Ex-C Clubs]]&gt;0,Table16[[#This Row],[Total Intra-School Sports]]&gt;0,Table16[[#This Row],[Total Inter-School Sports]]&gt;0,Table16[[#This Row],[Community Clubs]]&gt;0),1,0)</f>
        <v>0</v>
      </c>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21"/>
    </row>
    <row r="153" spans="1:218" x14ac:dyDescent="0.25">
      <c r="A153" s="17"/>
      <c r="B153" s="17"/>
      <c r="C153" s="17"/>
      <c r="D153" s="17"/>
      <c r="E153" s="17"/>
      <c r="F153" s="17"/>
      <c r="G153" s="17"/>
      <c r="H153" s="17"/>
      <c r="I153" s="17"/>
      <c r="J153" s="17"/>
      <c r="K153" s="17">
        <f>SUM(Table16[[#This Row],[Challenge 1]:[Challenge 50]])</f>
        <v>0</v>
      </c>
      <c r="L153" s="88">
        <f>SUM(Table16[[#This Row],[Club 1]:[Club 50]])</f>
        <v>0</v>
      </c>
      <c r="M153" s="88">
        <f>SUM(Table16[[#This Row],[Intra-school sports 1]:[Intra-school sports 50]])</f>
        <v>0</v>
      </c>
      <c r="N153" s="88">
        <f>SUM(Table16[[#This Row],[Inter School sports 1]:[Inter School sports 50]])</f>
        <v>0</v>
      </c>
      <c r="O153" s="17">
        <f>COUNTIF(Table16[[#This Row],[Community club (type name of club(s). All clubs will count as ''1'']],"*")</f>
        <v>0</v>
      </c>
      <c r="P153" s="17">
        <f>IF(OR(Table16[[#This Row],[Total Challenges]]&gt;0,Table16[[#This Row],[Total Ex-C Clubs]]&gt;0,Table16[[#This Row],[Total Intra-School Sports]]&gt;0,Table16[[#This Row],[Total Inter-School Sports]]&gt;0,Table16[[#This Row],[Community Clubs]]&gt;0),1,0)</f>
        <v>0</v>
      </c>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21"/>
    </row>
    <row r="154" spans="1:218" x14ac:dyDescent="0.25">
      <c r="A154" s="17"/>
      <c r="B154" s="17"/>
      <c r="C154" s="17"/>
      <c r="D154" s="17"/>
      <c r="E154" s="17"/>
      <c r="F154" s="17"/>
      <c r="G154" s="17"/>
      <c r="H154" s="17"/>
      <c r="I154" s="17"/>
      <c r="J154" s="17"/>
      <c r="K154" s="17">
        <f>SUM(Table16[[#This Row],[Challenge 1]:[Challenge 50]])</f>
        <v>0</v>
      </c>
      <c r="L154" s="88">
        <f>SUM(Table16[[#This Row],[Club 1]:[Club 50]])</f>
        <v>0</v>
      </c>
      <c r="M154" s="88">
        <f>SUM(Table16[[#This Row],[Intra-school sports 1]:[Intra-school sports 50]])</f>
        <v>0</v>
      </c>
      <c r="N154" s="88">
        <f>SUM(Table16[[#This Row],[Inter School sports 1]:[Inter School sports 50]])</f>
        <v>0</v>
      </c>
      <c r="O154" s="17">
        <f>COUNTIF(Table16[[#This Row],[Community club (type name of club(s). All clubs will count as ''1'']],"*")</f>
        <v>0</v>
      </c>
      <c r="P154" s="17">
        <f>IF(OR(Table16[[#This Row],[Total Challenges]]&gt;0,Table16[[#This Row],[Total Ex-C Clubs]]&gt;0,Table16[[#This Row],[Total Intra-School Sports]]&gt;0,Table16[[#This Row],[Total Inter-School Sports]]&gt;0,Table16[[#This Row],[Community Clubs]]&gt;0),1,0)</f>
        <v>0</v>
      </c>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21"/>
    </row>
    <row r="155" spans="1:218" x14ac:dyDescent="0.25">
      <c r="A155" s="17"/>
      <c r="B155" s="17"/>
      <c r="C155" s="17"/>
      <c r="D155" s="17"/>
      <c r="E155" s="17"/>
      <c r="F155" s="17"/>
      <c r="G155" s="17"/>
      <c r="H155" s="17"/>
      <c r="I155" s="17"/>
      <c r="J155" s="17"/>
      <c r="K155" s="17">
        <f>SUM(Table16[[#This Row],[Challenge 1]:[Challenge 50]])</f>
        <v>0</v>
      </c>
      <c r="L155" s="88">
        <f>SUM(Table16[[#This Row],[Club 1]:[Club 50]])</f>
        <v>0</v>
      </c>
      <c r="M155" s="88">
        <f>SUM(Table16[[#This Row],[Intra-school sports 1]:[Intra-school sports 50]])</f>
        <v>0</v>
      </c>
      <c r="N155" s="88">
        <f>SUM(Table16[[#This Row],[Inter School sports 1]:[Inter School sports 50]])</f>
        <v>0</v>
      </c>
      <c r="O155" s="17">
        <f>COUNTIF(Table16[[#This Row],[Community club (type name of club(s). All clubs will count as ''1'']],"*")</f>
        <v>0</v>
      </c>
      <c r="P155" s="17">
        <f>IF(OR(Table16[[#This Row],[Total Challenges]]&gt;0,Table16[[#This Row],[Total Ex-C Clubs]]&gt;0,Table16[[#This Row],[Total Intra-School Sports]]&gt;0,Table16[[#This Row],[Total Inter-School Sports]]&gt;0,Table16[[#This Row],[Community Clubs]]&gt;0),1,0)</f>
        <v>0</v>
      </c>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21"/>
    </row>
    <row r="156" spans="1:218" x14ac:dyDescent="0.25">
      <c r="A156" s="17"/>
      <c r="B156" s="17"/>
      <c r="C156" s="17"/>
      <c r="D156" s="17"/>
      <c r="E156" s="17"/>
      <c r="F156" s="17"/>
      <c r="G156" s="17"/>
      <c r="H156" s="17"/>
      <c r="I156" s="17"/>
      <c r="J156" s="17"/>
      <c r="K156" s="17">
        <f>SUM(Table16[[#This Row],[Challenge 1]:[Challenge 50]])</f>
        <v>0</v>
      </c>
      <c r="L156" s="88">
        <f>SUM(Table16[[#This Row],[Club 1]:[Club 50]])</f>
        <v>0</v>
      </c>
      <c r="M156" s="88">
        <f>SUM(Table16[[#This Row],[Intra-school sports 1]:[Intra-school sports 50]])</f>
        <v>0</v>
      </c>
      <c r="N156" s="88">
        <f>SUM(Table16[[#This Row],[Inter School sports 1]:[Inter School sports 50]])</f>
        <v>0</v>
      </c>
      <c r="O156" s="17">
        <f>COUNTIF(Table16[[#This Row],[Community club (type name of club(s). All clubs will count as ''1'']],"*")</f>
        <v>0</v>
      </c>
      <c r="P156" s="17">
        <f>IF(OR(Table16[[#This Row],[Total Challenges]]&gt;0,Table16[[#This Row],[Total Ex-C Clubs]]&gt;0,Table16[[#This Row],[Total Intra-School Sports]]&gt;0,Table16[[#This Row],[Total Inter-School Sports]]&gt;0,Table16[[#This Row],[Community Clubs]]&gt;0),1,0)</f>
        <v>0</v>
      </c>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21"/>
    </row>
    <row r="157" spans="1:218" x14ac:dyDescent="0.25">
      <c r="A157" s="17"/>
      <c r="B157" s="17"/>
      <c r="C157" s="17"/>
      <c r="D157" s="17"/>
      <c r="E157" s="17"/>
      <c r="F157" s="17"/>
      <c r="G157" s="17"/>
      <c r="H157" s="17"/>
      <c r="I157" s="17"/>
      <c r="J157" s="17"/>
      <c r="K157" s="17">
        <f>SUM(Table16[[#This Row],[Challenge 1]:[Challenge 50]])</f>
        <v>0</v>
      </c>
      <c r="L157" s="88">
        <f>SUM(Table16[[#This Row],[Club 1]:[Club 50]])</f>
        <v>0</v>
      </c>
      <c r="M157" s="88">
        <f>SUM(Table16[[#This Row],[Intra-school sports 1]:[Intra-school sports 50]])</f>
        <v>0</v>
      </c>
      <c r="N157" s="88">
        <f>SUM(Table16[[#This Row],[Inter School sports 1]:[Inter School sports 50]])</f>
        <v>0</v>
      </c>
      <c r="O157" s="17">
        <f>COUNTIF(Table16[[#This Row],[Community club (type name of club(s). All clubs will count as ''1'']],"*")</f>
        <v>0</v>
      </c>
      <c r="P157" s="17">
        <f>IF(OR(Table16[[#This Row],[Total Challenges]]&gt;0,Table16[[#This Row],[Total Ex-C Clubs]]&gt;0,Table16[[#This Row],[Total Intra-School Sports]]&gt;0,Table16[[#This Row],[Total Inter-School Sports]]&gt;0,Table16[[#This Row],[Community Clubs]]&gt;0),1,0)</f>
        <v>0</v>
      </c>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21"/>
    </row>
    <row r="158" spans="1:218" x14ac:dyDescent="0.25">
      <c r="A158" s="17"/>
      <c r="B158" s="17"/>
      <c r="C158" s="17"/>
      <c r="D158" s="17"/>
      <c r="E158" s="17"/>
      <c r="F158" s="17"/>
      <c r="G158" s="17"/>
      <c r="H158" s="17"/>
      <c r="I158" s="17"/>
      <c r="J158" s="17"/>
      <c r="K158" s="17">
        <f>SUM(Table16[[#This Row],[Challenge 1]:[Challenge 50]])</f>
        <v>0</v>
      </c>
      <c r="L158" s="88">
        <f>SUM(Table16[[#This Row],[Club 1]:[Club 50]])</f>
        <v>0</v>
      </c>
      <c r="M158" s="88">
        <f>SUM(Table16[[#This Row],[Intra-school sports 1]:[Intra-school sports 50]])</f>
        <v>0</v>
      </c>
      <c r="N158" s="88">
        <f>SUM(Table16[[#This Row],[Inter School sports 1]:[Inter School sports 50]])</f>
        <v>0</v>
      </c>
      <c r="O158" s="17">
        <f>COUNTIF(Table16[[#This Row],[Community club (type name of club(s). All clubs will count as ''1'']],"*")</f>
        <v>0</v>
      </c>
      <c r="P158" s="17">
        <f>IF(OR(Table16[[#This Row],[Total Challenges]]&gt;0,Table16[[#This Row],[Total Ex-C Clubs]]&gt;0,Table16[[#This Row],[Total Intra-School Sports]]&gt;0,Table16[[#This Row],[Total Inter-School Sports]]&gt;0,Table16[[#This Row],[Community Clubs]]&gt;0),1,0)</f>
        <v>0</v>
      </c>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21"/>
    </row>
    <row r="159" spans="1:218" x14ac:dyDescent="0.25">
      <c r="A159" s="17"/>
      <c r="B159" s="17"/>
      <c r="C159" s="17"/>
      <c r="D159" s="17"/>
      <c r="E159" s="17"/>
      <c r="F159" s="17"/>
      <c r="G159" s="17"/>
      <c r="H159" s="17"/>
      <c r="I159" s="17"/>
      <c r="J159" s="17"/>
      <c r="K159" s="17">
        <f>SUM(Table16[[#This Row],[Challenge 1]:[Challenge 50]])</f>
        <v>0</v>
      </c>
      <c r="L159" s="88">
        <f>SUM(Table16[[#This Row],[Club 1]:[Club 50]])</f>
        <v>0</v>
      </c>
      <c r="M159" s="88">
        <f>SUM(Table16[[#This Row],[Intra-school sports 1]:[Intra-school sports 50]])</f>
        <v>0</v>
      </c>
      <c r="N159" s="88">
        <f>SUM(Table16[[#This Row],[Inter School sports 1]:[Inter School sports 50]])</f>
        <v>0</v>
      </c>
      <c r="O159" s="17">
        <f>COUNTIF(Table16[[#This Row],[Community club (type name of club(s). All clubs will count as ''1'']],"*")</f>
        <v>0</v>
      </c>
      <c r="P159" s="17">
        <f>IF(OR(Table16[[#This Row],[Total Challenges]]&gt;0,Table16[[#This Row],[Total Ex-C Clubs]]&gt;0,Table16[[#This Row],[Total Intra-School Sports]]&gt;0,Table16[[#This Row],[Total Inter-School Sports]]&gt;0,Table16[[#This Row],[Community Clubs]]&gt;0),1,0)</f>
        <v>0</v>
      </c>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21"/>
    </row>
    <row r="160" spans="1:218" x14ac:dyDescent="0.25">
      <c r="A160" s="17"/>
      <c r="B160" s="17"/>
      <c r="C160" s="17"/>
      <c r="D160" s="17"/>
      <c r="E160" s="17"/>
      <c r="F160" s="17"/>
      <c r="G160" s="17"/>
      <c r="H160" s="17"/>
      <c r="I160" s="17"/>
      <c r="J160" s="17"/>
      <c r="K160" s="17">
        <f>SUM(Table16[[#This Row],[Challenge 1]:[Challenge 50]])</f>
        <v>0</v>
      </c>
      <c r="L160" s="88">
        <f>SUM(Table16[[#This Row],[Club 1]:[Club 50]])</f>
        <v>0</v>
      </c>
      <c r="M160" s="88">
        <f>SUM(Table16[[#This Row],[Intra-school sports 1]:[Intra-school sports 50]])</f>
        <v>0</v>
      </c>
      <c r="N160" s="88">
        <f>SUM(Table16[[#This Row],[Inter School sports 1]:[Inter School sports 50]])</f>
        <v>0</v>
      </c>
      <c r="O160" s="17">
        <f>COUNTIF(Table16[[#This Row],[Community club (type name of club(s). All clubs will count as ''1'']],"*")</f>
        <v>0</v>
      </c>
      <c r="P160" s="17">
        <f>IF(OR(Table16[[#This Row],[Total Challenges]]&gt;0,Table16[[#This Row],[Total Ex-C Clubs]]&gt;0,Table16[[#This Row],[Total Intra-School Sports]]&gt;0,Table16[[#This Row],[Total Inter-School Sports]]&gt;0,Table16[[#This Row],[Community Clubs]]&gt;0),1,0)</f>
        <v>0</v>
      </c>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21"/>
    </row>
    <row r="161" spans="1:218" x14ac:dyDescent="0.25">
      <c r="A161" s="17"/>
      <c r="B161" s="17"/>
      <c r="C161" s="17"/>
      <c r="D161" s="17"/>
      <c r="E161" s="17"/>
      <c r="F161" s="17"/>
      <c r="G161" s="17"/>
      <c r="H161" s="17"/>
      <c r="I161" s="17"/>
      <c r="J161" s="17"/>
      <c r="K161" s="17">
        <f>SUM(Table16[[#This Row],[Challenge 1]:[Challenge 50]])</f>
        <v>0</v>
      </c>
      <c r="L161" s="88">
        <f>SUM(Table16[[#This Row],[Club 1]:[Club 50]])</f>
        <v>0</v>
      </c>
      <c r="M161" s="88">
        <f>SUM(Table16[[#This Row],[Intra-school sports 1]:[Intra-school sports 50]])</f>
        <v>0</v>
      </c>
      <c r="N161" s="88">
        <f>SUM(Table16[[#This Row],[Inter School sports 1]:[Inter School sports 50]])</f>
        <v>0</v>
      </c>
      <c r="O161" s="17">
        <f>COUNTIF(Table16[[#This Row],[Community club (type name of club(s). All clubs will count as ''1'']],"*")</f>
        <v>0</v>
      </c>
      <c r="P161" s="17">
        <f>IF(OR(Table16[[#This Row],[Total Challenges]]&gt;0,Table16[[#This Row],[Total Ex-C Clubs]]&gt;0,Table16[[#This Row],[Total Intra-School Sports]]&gt;0,Table16[[#This Row],[Total Inter-School Sports]]&gt;0,Table16[[#This Row],[Community Clubs]]&gt;0),1,0)</f>
        <v>0</v>
      </c>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21"/>
    </row>
    <row r="162" spans="1:218" x14ac:dyDescent="0.25">
      <c r="A162" s="17"/>
      <c r="B162" s="17"/>
      <c r="C162" s="17"/>
      <c r="D162" s="17"/>
      <c r="E162" s="17"/>
      <c r="F162" s="17"/>
      <c r="G162" s="17"/>
      <c r="H162" s="17"/>
      <c r="I162" s="17"/>
      <c r="J162" s="17"/>
      <c r="K162" s="17">
        <f>SUM(Table16[[#This Row],[Challenge 1]:[Challenge 50]])</f>
        <v>0</v>
      </c>
      <c r="L162" s="88">
        <f>SUM(Table16[[#This Row],[Club 1]:[Club 50]])</f>
        <v>0</v>
      </c>
      <c r="M162" s="88">
        <f>SUM(Table16[[#This Row],[Intra-school sports 1]:[Intra-school sports 50]])</f>
        <v>0</v>
      </c>
      <c r="N162" s="88">
        <f>SUM(Table16[[#This Row],[Inter School sports 1]:[Inter School sports 50]])</f>
        <v>0</v>
      </c>
      <c r="O162" s="17">
        <f>COUNTIF(Table16[[#This Row],[Community club (type name of club(s). All clubs will count as ''1'']],"*")</f>
        <v>0</v>
      </c>
      <c r="P162" s="17">
        <f>IF(OR(Table16[[#This Row],[Total Challenges]]&gt;0,Table16[[#This Row],[Total Ex-C Clubs]]&gt;0,Table16[[#This Row],[Total Intra-School Sports]]&gt;0,Table16[[#This Row],[Total Inter-School Sports]]&gt;0,Table16[[#This Row],[Community Clubs]]&gt;0),1,0)</f>
        <v>0</v>
      </c>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21"/>
    </row>
    <row r="163" spans="1:218" x14ac:dyDescent="0.25">
      <c r="A163" s="17"/>
      <c r="B163" s="17"/>
      <c r="C163" s="17"/>
      <c r="D163" s="17"/>
      <c r="E163" s="17"/>
      <c r="F163" s="17"/>
      <c r="G163" s="17"/>
      <c r="H163" s="17"/>
      <c r="I163" s="17"/>
      <c r="J163" s="17"/>
      <c r="K163" s="17">
        <f>SUM(Table16[[#This Row],[Challenge 1]:[Challenge 50]])</f>
        <v>0</v>
      </c>
      <c r="L163" s="88">
        <f>SUM(Table16[[#This Row],[Club 1]:[Club 50]])</f>
        <v>0</v>
      </c>
      <c r="M163" s="88">
        <f>SUM(Table16[[#This Row],[Intra-school sports 1]:[Intra-school sports 50]])</f>
        <v>0</v>
      </c>
      <c r="N163" s="88">
        <f>SUM(Table16[[#This Row],[Inter School sports 1]:[Inter School sports 50]])</f>
        <v>0</v>
      </c>
      <c r="O163" s="17">
        <f>COUNTIF(Table16[[#This Row],[Community club (type name of club(s). All clubs will count as ''1'']],"*")</f>
        <v>0</v>
      </c>
      <c r="P163" s="17">
        <f>IF(OR(Table16[[#This Row],[Total Challenges]]&gt;0,Table16[[#This Row],[Total Ex-C Clubs]]&gt;0,Table16[[#This Row],[Total Intra-School Sports]]&gt;0,Table16[[#This Row],[Total Inter-School Sports]]&gt;0,Table16[[#This Row],[Community Clubs]]&gt;0),1,0)</f>
        <v>0</v>
      </c>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21"/>
    </row>
    <row r="164" spans="1:218" x14ac:dyDescent="0.25">
      <c r="A164" s="17"/>
      <c r="B164" s="17"/>
      <c r="C164" s="17"/>
      <c r="D164" s="17"/>
      <c r="E164" s="17"/>
      <c r="F164" s="17"/>
      <c r="G164" s="17"/>
      <c r="H164" s="17"/>
      <c r="I164" s="17"/>
      <c r="J164" s="17"/>
      <c r="K164" s="17">
        <f>SUM(Table16[[#This Row],[Challenge 1]:[Challenge 50]])</f>
        <v>0</v>
      </c>
      <c r="L164" s="88">
        <f>SUM(Table16[[#This Row],[Club 1]:[Club 50]])</f>
        <v>0</v>
      </c>
      <c r="M164" s="88">
        <f>SUM(Table16[[#This Row],[Intra-school sports 1]:[Intra-school sports 50]])</f>
        <v>0</v>
      </c>
      <c r="N164" s="88">
        <f>SUM(Table16[[#This Row],[Inter School sports 1]:[Inter School sports 50]])</f>
        <v>0</v>
      </c>
      <c r="O164" s="17">
        <f>COUNTIF(Table16[[#This Row],[Community club (type name of club(s). All clubs will count as ''1'']],"*")</f>
        <v>0</v>
      </c>
      <c r="P164" s="17">
        <f>IF(OR(Table16[[#This Row],[Total Challenges]]&gt;0,Table16[[#This Row],[Total Ex-C Clubs]]&gt;0,Table16[[#This Row],[Total Intra-School Sports]]&gt;0,Table16[[#This Row],[Total Inter-School Sports]]&gt;0,Table16[[#This Row],[Community Clubs]]&gt;0),1,0)</f>
        <v>0</v>
      </c>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21"/>
    </row>
    <row r="165" spans="1:218" x14ac:dyDescent="0.25">
      <c r="A165" s="17"/>
      <c r="B165" s="17"/>
      <c r="C165" s="17"/>
      <c r="D165" s="17"/>
      <c r="E165" s="17"/>
      <c r="F165" s="17"/>
      <c r="G165" s="17"/>
      <c r="H165" s="17"/>
      <c r="I165" s="17"/>
      <c r="J165" s="17"/>
      <c r="K165" s="17">
        <f>SUM(Table16[[#This Row],[Challenge 1]:[Challenge 50]])</f>
        <v>0</v>
      </c>
      <c r="L165" s="88">
        <f>SUM(Table16[[#This Row],[Club 1]:[Club 50]])</f>
        <v>0</v>
      </c>
      <c r="M165" s="88">
        <f>SUM(Table16[[#This Row],[Intra-school sports 1]:[Intra-school sports 50]])</f>
        <v>0</v>
      </c>
      <c r="N165" s="88">
        <f>SUM(Table16[[#This Row],[Inter School sports 1]:[Inter School sports 50]])</f>
        <v>0</v>
      </c>
      <c r="O165" s="17">
        <f>COUNTIF(Table16[[#This Row],[Community club (type name of club(s). All clubs will count as ''1'']],"*")</f>
        <v>0</v>
      </c>
      <c r="P165" s="17">
        <f>IF(OR(Table16[[#This Row],[Total Challenges]]&gt;0,Table16[[#This Row],[Total Ex-C Clubs]]&gt;0,Table16[[#This Row],[Total Intra-School Sports]]&gt;0,Table16[[#This Row],[Total Inter-School Sports]]&gt;0,Table16[[#This Row],[Community Clubs]]&gt;0),1,0)</f>
        <v>0</v>
      </c>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21"/>
    </row>
    <row r="166" spans="1:218" x14ac:dyDescent="0.25">
      <c r="A166" s="17"/>
      <c r="B166" s="17"/>
      <c r="C166" s="17"/>
      <c r="D166" s="17"/>
      <c r="E166" s="17"/>
      <c r="F166" s="17"/>
      <c r="G166" s="17"/>
      <c r="H166" s="17"/>
      <c r="I166" s="17"/>
      <c r="J166" s="17"/>
      <c r="K166" s="17">
        <f>SUM(Table16[[#This Row],[Challenge 1]:[Challenge 50]])</f>
        <v>0</v>
      </c>
      <c r="L166" s="88">
        <f>SUM(Table16[[#This Row],[Club 1]:[Club 50]])</f>
        <v>0</v>
      </c>
      <c r="M166" s="88">
        <f>SUM(Table16[[#This Row],[Intra-school sports 1]:[Intra-school sports 50]])</f>
        <v>0</v>
      </c>
      <c r="N166" s="88">
        <f>SUM(Table16[[#This Row],[Inter School sports 1]:[Inter School sports 50]])</f>
        <v>0</v>
      </c>
      <c r="O166" s="17">
        <f>COUNTIF(Table16[[#This Row],[Community club (type name of club(s). All clubs will count as ''1'']],"*")</f>
        <v>0</v>
      </c>
      <c r="P166" s="17">
        <f>IF(OR(Table16[[#This Row],[Total Challenges]]&gt;0,Table16[[#This Row],[Total Ex-C Clubs]]&gt;0,Table16[[#This Row],[Total Intra-School Sports]]&gt;0,Table16[[#This Row],[Total Inter-School Sports]]&gt;0,Table16[[#This Row],[Community Clubs]]&gt;0),1,0)</f>
        <v>0</v>
      </c>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21"/>
    </row>
    <row r="167" spans="1:218" x14ac:dyDescent="0.25">
      <c r="A167" s="17"/>
      <c r="B167" s="17"/>
      <c r="C167" s="17"/>
      <c r="D167" s="17"/>
      <c r="E167" s="17"/>
      <c r="F167" s="17"/>
      <c r="G167" s="17"/>
      <c r="H167" s="17"/>
      <c r="I167" s="17"/>
      <c r="J167" s="17"/>
      <c r="K167" s="17">
        <f>SUM(Table16[[#This Row],[Challenge 1]:[Challenge 50]])</f>
        <v>0</v>
      </c>
      <c r="L167" s="88">
        <f>SUM(Table16[[#This Row],[Club 1]:[Club 50]])</f>
        <v>0</v>
      </c>
      <c r="M167" s="88">
        <f>SUM(Table16[[#This Row],[Intra-school sports 1]:[Intra-school sports 50]])</f>
        <v>0</v>
      </c>
      <c r="N167" s="88">
        <f>SUM(Table16[[#This Row],[Inter School sports 1]:[Inter School sports 50]])</f>
        <v>0</v>
      </c>
      <c r="O167" s="17">
        <f>COUNTIF(Table16[[#This Row],[Community club (type name of club(s). All clubs will count as ''1'']],"*")</f>
        <v>0</v>
      </c>
      <c r="P167" s="17">
        <f>IF(OR(Table16[[#This Row],[Total Challenges]]&gt;0,Table16[[#This Row],[Total Ex-C Clubs]]&gt;0,Table16[[#This Row],[Total Intra-School Sports]]&gt;0,Table16[[#This Row],[Total Inter-School Sports]]&gt;0,Table16[[#This Row],[Community Clubs]]&gt;0),1,0)</f>
        <v>0</v>
      </c>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21"/>
    </row>
    <row r="168" spans="1:218" x14ac:dyDescent="0.25">
      <c r="A168" s="17"/>
      <c r="B168" s="17"/>
      <c r="C168" s="17"/>
      <c r="D168" s="17"/>
      <c r="E168" s="17"/>
      <c r="F168" s="17"/>
      <c r="G168" s="17"/>
      <c r="H168" s="17"/>
      <c r="I168" s="17"/>
      <c r="J168" s="17"/>
      <c r="K168" s="17">
        <f>SUM(Table16[[#This Row],[Challenge 1]:[Challenge 50]])</f>
        <v>0</v>
      </c>
      <c r="L168" s="88">
        <f>SUM(Table16[[#This Row],[Club 1]:[Club 50]])</f>
        <v>0</v>
      </c>
      <c r="M168" s="88">
        <f>SUM(Table16[[#This Row],[Intra-school sports 1]:[Intra-school sports 50]])</f>
        <v>0</v>
      </c>
      <c r="N168" s="88">
        <f>SUM(Table16[[#This Row],[Inter School sports 1]:[Inter School sports 50]])</f>
        <v>0</v>
      </c>
      <c r="O168" s="17">
        <f>COUNTIF(Table16[[#This Row],[Community club (type name of club(s). All clubs will count as ''1'']],"*")</f>
        <v>0</v>
      </c>
      <c r="P168" s="17">
        <f>IF(OR(Table16[[#This Row],[Total Challenges]]&gt;0,Table16[[#This Row],[Total Ex-C Clubs]]&gt;0,Table16[[#This Row],[Total Intra-School Sports]]&gt;0,Table16[[#This Row],[Total Inter-School Sports]]&gt;0,Table16[[#This Row],[Community Clubs]]&gt;0),1,0)</f>
        <v>0</v>
      </c>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21"/>
    </row>
    <row r="169" spans="1:218" x14ac:dyDescent="0.25">
      <c r="K169" s="91">
        <f>SUM(Table16[[#This Row],[Challenge 1]:[Challenge 50]])</f>
        <v>0</v>
      </c>
      <c r="L169" s="2">
        <f>SUM(Table16[[#This Row],[Club 1]:[Club 50]])</f>
        <v>0</v>
      </c>
      <c r="M169" s="2">
        <f>SUM(Table16[[#This Row],[Intra-school sports 1]:[Intra-school sports 50]])</f>
        <v>0</v>
      </c>
      <c r="N169" s="2">
        <f>SUM(Table16[[#This Row],[Inter School sports 1]:[Inter School sports 50]])</f>
        <v>0</v>
      </c>
      <c r="O169" s="91">
        <f>COUNTIF(Table16[[#This Row],[Community club (type name of club(s). All clubs will count as ''1'']],"*")</f>
        <v>0</v>
      </c>
      <c r="P169" s="17">
        <f>IF(OR(Table16[[#This Row],[Total Challenges]]&gt;0,Table16[[#This Row],[Total Ex-C Clubs]]&gt;0,Table16[[#This Row],[Total Intra-School Sports]]&gt;0,Table16[[#This Row],[Total Inter-School Sports]]&gt;0,Table16[[#This Row],[Community Clubs]]&gt;0),1,0)</f>
        <v>0</v>
      </c>
      <c r="HI169"/>
      <c r="HJ169" s="19"/>
    </row>
    <row r="170" spans="1:218" x14ac:dyDescent="0.25">
      <c r="K170" s="91">
        <f>SUM(Table16[[#This Row],[Challenge 1]:[Challenge 50]])</f>
        <v>0</v>
      </c>
      <c r="L170" s="2">
        <f>SUM(Table16[[#This Row],[Club 1]:[Club 50]])</f>
        <v>0</v>
      </c>
      <c r="M170" s="2">
        <f>SUM(Table16[[#This Row],[Intra-school sports 1]:[Intra-school sports 50]])</f>
        <v>0</v>
      </c>
      <c r="N170" s="2">
        <f>SUM(Table16[[#This Row],[Inter School sports 1]:[Inter School sports 50]])</f>
        <v>0</v>
      </c>
      <c r="O170" s="91">
        <f>COUNTIF(Table16[[#This Row],[Community club (type name of club(s). All clubs will count as ''1'']],"*")</f>
        <v>0</v>
      </c>
      <c r="P170" s="17">
        <f>IF(OR(Table16[[#This Row],[Total Challenges]]&gt;0,Table16[[#This Row],[Total Ex-C Clubs]]&gt;0,Table16[[#This Row],[Total Intra-School Sports]]&gt;0,Table16[[#This Row],[Total Inter-School Sports]]&gt;0,Table16[[#This Row],[Community Clubs]]&gt;0),1,0)</f>
        <v>0</v>
      </c>
      <c r="HI170"/>
      <c r="HJ170" s="19"/>
    </row>
    <row r="171" spans="1:218" x14ac:dyDescent="0.25">
      <c r="K171" s="91">
        <f>SUM(Table16[[#This Row],[Challenge 1]:[Challenge 50]])</f>
        <v>0</v>
      </c>
      <c r="L171" s="2">
        <f>SUM(Table16[[#This Row],[Club 1]:[Club 50]])</f>
        <v>0</v>
      </c>
      <c r="M171" s="2">
        <f>SUM(Table16[[#This Row],[Intra-school sports 1]:[Intra-school sports 50]])</f>
        <v>0</v>
      </c>
      <c r="N171" s="2">
        <f>SUM(Table16[[#This Row],[Inter School sports 1]:[Inter School sports 50]])</f>
        <v>0</v>
      </c>
      <c r="O171" s="91">
        <f>COUNTIF(Table16[[#This Row],[Community club (type name of club(s). All clubs will count as ''1'']],"*")</f>
        <v>0</v>
      </c>
      <c r="P171" s="17">
        <f>IF(OR(Table16[[#This Row],[Total Challenges]]&gt;0,Table16[[#This Row],[Total Ex-C Clubs]]&gt;0,Table16[[#This Row],[Total Intra-School Sports]]&gt;0,Table16[[#This Row],[Total Inter-School Sports]]&gt;0,Table16[[#This Row],[Community Clubs]]&gt;0),1,0)</f>
        <v>0</v>
      </c>
      <c r="HI171"/>
      <c r="HJ171" s="19"/>
    </row>
    <row r="172" spans="1:218" x14ac:dyDescent="0.25">
      <c r="K172" s="91">
        <f>SUM(Table16[[#This Row],[Challenge 1]:[Challenge 50]])</f>
        <v>0</v>
      </c>
      <c r="L172" s="2">
        <f>SUM(Table16[[#This Row],[Club 1]:[Club 50]])</f>
        <v>0</v>
      </c>
      <c r="M172" s="2">
        <f>SUM(Table16[[#This Row],[Intra-school sports 1]:[Intra-school sports 50]])</f>
        <v>0</v>
      </c>
      <c r="N172" s="2">
        <f>SUM(Table16[[#This Row],[Inter School sports 1]:[Inter School sports 50]])</f>
        <v>0</v>
      </c>
      <c r="O172" s="91">
        <f>COUNTIF(Table16[[#This Row],[Community club (type name of club(s). All clubs will count as ''1'']],"*")</f>
        <v>0</v>
      </c>
      <c r="P172" s="17">
        <f>IF(OR(Table16[[#This Row],[Total Challenges]]&gt;0,Table16[[#This Row],[Total Ex-C Clubs]]&gt;0,Table16[[#This Row],[Total Intra-School Sports]]&gt;0,Table16[[#This Row],[Total Inter-School Sports]]&gt;0,Table16[[#This Row],[Community Clubs]]&gt;0),1,0)</f>
        <v>0</v>
      </c>
      <c r="HI172"/>
      <c r="HJ172" s="19"/>
    </row>
    <row r="173" spans="1:218" x14ac:dyDescent="0.25">
      <c r="K173" s="91">
        <f>SUM(Table16[[#This Row],[Challenge 1]:[Challenge 50]])</f>
        <v>0</v>
      </c>
      <c r="L173" s="2">
        <f>SUM(Table16[[#This Row],[Club 1]:[Club 50]])</f>
        <v>0</v>
      </c>
      <c r="M173" s="2">
        <f>SUM(Table16[[#This Row],[Intra-school sports 1]:[Intra-school sports 50]])</f>
        <v>0</v>
      </c>
      <c r="N173" s="2">
        <f>SUM(Table16[[#This Row],[Inter School sports 1]:[Inter School sports 50]])</f>
        <v>0</v>
      </c>
      <c r="O173" s="91">
        <f>COUNTIF(Table16[[#This Row],[Community club (type name of club(s). All clubs will count as ''1'']],"*")</f>
        <v>0</v>
      </c>
      <c r="P173" s="17">
        <f>IF(OR(Table16[[#This Row],[Total Challenges]]&gt;0,Table16[[#This Row],[Total Ex-C Clubs]]&gt;0,Table16[[#This Row],[Total Intra-School Sports]]&gt;0,Table16[[#This Row],[Total Inter-School Sports]]&gt;0,Table16[[#This Row],[Community Clubs]]&gt;0),1,0)</f>
        <v>0</v>
      </c>
      <c r="HI173"/>
      <c r="HJ173" s="19"/>
    </row>
    <row r="174" spans="1:218" x14ac:dyDescent="0.25">
      <c r="K174" s="91">
        <f>SUM(Table16[[#This Row],[Challenge 1]:[Challenge 50]])</f>
        <v>0</v>
      </c>
      <c r="L174" s="2">
        <f>SUM(Table16[[#This Row],[Club 1]:[Club 50]])</f>
        <v>0</v>
      </c>
      <c r="M174" s="2">
        <f>SUM(Table16[[#This Row],[Intra-school sports 1]:[Intra-school sports 50]])</f>
        <v>0</v>
      </c>
      <c r="N174" s="2">
        <f>SUM(Table16[[#This Row],[Inter School sports 1]:[Inter School sports 50]])</f>
        <v>0</v>
      </c>
      <c r="O174" s="91">
        <f>COUNTIF(Table16[[#This Row],[Community club (type name of club(s). All clubs will count as ''1'']],"*")</f>
        <v>0</v>
      </c>
      <c r="P174" s="17">
        <f>IF(OR(Table16[[#This Row],[Total Challenges]]&gt;0,Table16[[#This Row],[Total Ex-C Clubs]]&gt;0,Table16[[#This Row],[Total Intra-School Sports]]&gt;0,Table16[[#This Row],[Total Inter-School Sports]]&gt;0,Table16[[#This Row],[Community Clubs]]&gt;0),1,0)</f>
        <v>0</v>
      </c>
      <c r="HI174"/>
      <c r="HJ174" s="19"/>
    </row>
    <row r="175" spans="1:218" x14ac:dyDescent="0.25">
      <c r="K175" s="91">
        <f>SUM(Table16[[#This Row],[Challenge 1]:[Challenge 50]])</f>
        <v>0</v>
      </c>
      <c r="L175" s="2">
        <f>SUM(Table16[[#This Row],[Club 1]:[Club 50]])</f>
        <v>0</v>
      </c>
      <c r="M175" s="2">
        <f>SUM(Table16[[#This Row],[Intra-school sports 1]:[Intra-school sports 50]])</f>
        <v>0</v>
      </c>
      <c r="N175" s="2">
        <f>SUM(Table16[[#This Row],[Inter School sports 1]:[Inter School sports 50]])</f>
        <v>0</v>
      </c>
      <c r="O175" s="91">
        <f>COUNTIF(Table16[[#This Row],[Community club (type name of club(s). All clubs will count as ''1'']],"*")</f>
        <v>0</v>
      </c>
      <c r="P175" s="17">
        <f>IF(OR(Table16[[#This Row],[Total Challenges]]&gt;0,Table16[[#This Row],[Total Ex-C Clubs]]&gt;0,Table16[[#This Row],[Total Intra-School Sports]]&gt;0,Table16[[#This Row],[Total Inter-School Sports]]&gt;0,Table16[[#This Row],[Community Clubs]]&gt;0),1,0)</f>
        <v>0</v>
      </c>
      <c r="HI175"/>
      <c r="HJ175" s="19"/>
    </row>
    <row r="176" spans="1:218" x14ac:dyDescent="0.25">
      <c r="K176" s="91">
        <f>SUM(Table16[[#This Row],[Challenge 1]:[Challenge 50]])</f>
        <v>0</v>
      </c>
      <c r="L176" s="2">
        <f>SUM(Table16[[#This Row],[Club 1]:[Club 50]])</f>
        <v>0</v>
      </c>
      <c r="M176" s="2">
        <f>SUM(Table16[[#This Row],[Intra-school sports 1]:[Intra-school sports 50]])</f>
        <v>0</v>
      </c>
      <c r="N176" s="2">
        <f>SUM(Table16[[#This Row],[Inter School sports 1]:[Inter School sports 50]])</f>
        <v>0</v>
      </c>
      <c r="O176" s="91">
        <f>COUNTIF(Table16[[#This Row],[Community club (type name of club(s). All clubs will count as ''1'']],"*")</f>
        <v>0</v>
      </c>
      <c r="P176" s="17">
        <f>IF(OR(Table16[[#This Row],[Total Challenges]]&gt;0,Table16[[#This Row],[Total Ex-C Clubs]]&gt;0,Table16[[#This Row],[Total Intra-School Sports]]&gt;0,Table16[[#This Row],[Total Inter-School Sports]]&gt;0,Table16[[#This Row],[Community Clubs]]&gt;0),1,0)</f>
        <v>0</v>
      </c>
      <c r="HI176"/>
      <c r="HJ176" s="19"/>
    </row>
    <row r="177" spans="11:218" x14ac:dyDescent="0.25">
      <c r="K177" s="91">
        <f>SUM(Table16[[#This Row],[Challenge 1]:[Challenge 50]])</f>
        <v>0</v>
      </c>
      <c r="L177" s="2">
        <f>SUM(Table16[[#This Row],[Club 1]:[Club 50]])</f>
        <v>0</v>
      </c>
      <c r="M177" s="2">
        <f>SUM(Table16[[#This Row],[Intra-school sports 1]:[Intra-school sports 50]])</f>
        <v>0</v>
      </c>
      <c r="N177" s="2">
        <f>SUM(Table16[[#This Row],[Inter School sports 1]:[Inter School sports 50]])</f>
        <v>0</v>
      </c>
      <c r="O177" s="91">
        <f>COUNTIF(Table16[[#This Row],[Community club (type name of club(s). All clubs will count as ''1'']],"*")</f>
        <v>0</v>
      </c>
      <c r="P177" s="17">
        <f>IF(OR(Table16[[#This Row],[Total Challenges]]&gt;0,Table16[[#This Row],[Total Ex-C Clubs]]&gt;0,Table16[[#This Row],[Total Intra-School Sports]]&gt;0,Table16[[#This Row],[Total Inter-School Sports]]&gt;0,Table16[[#This Row],[Community Clubs]]&gt;0),1,0)</f>
        <v>0</v>
      </c>
      <c r="HI177"/>
      <c r="HJ177" s="19"/>
    </row>
    <row r="178" spans="11:218" x14ac:dyDescent="0.25">
      <c r="K178" s="91">
        <f>SUM(Table16[[#This Row],[Challenge 1]:[Challenge 50]])</f>
        <v>0</v>
      </c>
      <c r="L178" s="2">
        <f>SUM(Table16[[#This Row],[Club 1]:[Club 50]])</f>
        <v>0</v>
      </c>
      <c r="M178" s="2">
        <f>SUM(Table16[[#This Row],[Intra-school sports 1]:[Intra-school sports 50]])</f>
        <v>0</v>
      </c>
      <c r="N178" s="2">
        <f>SUM(Table16[[#This Row],[Inter School sports 1]:[Inter School sports 50]])</f>
        <v>0</v>
      </c>
      <c r="O178" s="91">
        <f>COUNTIF(Table16[[#This Row],[Community club (type name of club(s). All clubs will count as ''1'']],"*")</f>
        <v>0</v>
      </c>
      <c r="P178" s="17">
        <f>IF(OR(Table16[[#This Row],[Total Challenges]]&gt;0,Table16[[#This Row],[Total Ex-C Clubs]]&gt;0,Table16[[#This Row],[Total Intra-School Sports]]&gt;0,Table16[[#This Row],[Total Inter-School Sports]]&gt;0,Table16[[#This Row],[Community Clubs]]&gt;0),1,0)</f>
        <v>0</v>
      </c>
      <c r="HI178"/>
      <c r="HJ178" s="19"/>
    </row>
    <row r="179" spans="11:218" x14ac:dyDescent="0.25">
      <c r="K179" s="91">
        <f>SUM(Table16[[#This Row],[Challenge 1]:[Challenge 50]])</f>
        <v>0</v>
      </c>
      <c r="L179" s="2">
        <f>SUM(Table16[[#This Row],[Club 1]:[Club 50]])</f>
        <v>0</v>
      </c>
      <c r="M179" s="2">
        <f>SUM(Table16[[#This Row],[Intra-school sports 1]:[Intra-school sports 50]])</f>
        <v>0</v>
      </c>
      <c r="N179" s="2">
        <f>SUM(Table16[[#This Row],[Inter School sports 1]:[Inter School sports 50]])</f>
        <v>0</v>
      </c>
      <c r="O179" s="91">
        <f>COUNTIF(Table16[[#This Row],[Community club (type name of club(s). All clubs will count as ''1'']],"*")</f>
        <v>0</v>
      </c>
      <c r="P179" s="17">
        <f>IF(OR(Table16[[#This Row],[Total Challenges]]&gt;0,Table16[[#This Row],[Total Ex-C Clubs]]&gt;0,Table16[[#This Row],[Total Intra-School Sports]]&gt;0,Table16[[#This Row],[Total Inter-School Sports]]&gt;0,Table16[[#This Row],[Community Clubs]]&gt;0),1,0)</f>
        <v>0</v>
      </c>
      <c r="HI179"/>
      <c r="HJ179" s="19"/>
    </row>
    <row r="180" spans="11:218" x14ac:dyDescent="0.25">
      <c r="K180" s="91">
        <f>SUM(Table16[[#This Row],[Challenge 1]:[Challenge 50]])</f>
        <v>0</v>
      </c>
      <c r="L180" s="2">
        <f>SUM(Table16[[#This Row],[Club 1]:[Club 50]])</f>
        <v>0</v>
      </c>
      <c r="M180" s="2">
        <f>SUM(Table16[[#This Row],[Intra-school sports 1]:[Intra-school sports 50]])</f>
        <v>0</v>
      </c>
      <c r="N180" s="2">
        <f>SUM(Table16[[#This Row],[Inter School sports 1]:[Inter School sports 50]])</f>
        <v>0</v>
      </c>
      <c r="O180" s="91">
        <f>COUNTIF(Table16[[#This Row],[Community club (type name of club(s). All clubs will count as ''1'']],"*")</f>
        <v>0</v>
      </c>
      <c r="P180" s="17">
        <f>IF(OR(Table16[[#This Row],[Total Challenges]]&gt;0,Table16[[#This Row],[Total Ex-C Clubs]]&gt;0,Table16[[#This Row],[Total Intra-School Sports]]&gt;0,Table16[[#This Row],[Total Inter-School Sports]]&gt;0,Table16[[#This Row],[Community Clubs]]&gt;0),1,0)</f>
        <v>0</v>
      </c>
      <c r="HI180"/>
      <c r="HJ180" s="19"/>
    </row>
    <row r="181" spans="11:218" x14ac:dyDescent="0.25">
      <c r="K181" s="91">
        <f>SUM(Table16[[#This Row],[Challenge 1]:[Challenge 50]])</f>
        <v>0</v>
      </c>
      <c r="L181" s="2">
        <f>SUM(Table16[[#This Row],[Club 1]:[Club 50]])</f>
        <v>0</v>
      </c>
      <c r="M181" s="2">
        <f>SUM(Table16[[#This Row],[Intra-school sports 1]:[Intra-school sports 50]])</f>
        <v>0</v>
      </c>
      <c r="N181" s="2">
        <f>SUM(Table16[[#This Row],[Inter School sports 1]:[Inter School sports 50]])</f>
        <v>0</v>
      </c>
      <c r="O181" s="91">
        <f>COUNTIF(Table16[[#This Row],[Community club (type name of club(s). All clubs will count as ''1'']],"*")</f>
        <v>0</v>
      </c>
      <c r="P181" s="17">
        <f>IF(OR(Table16[[#This Row],[Total Challenges]]&gt;0,Table16[[#This Row],[Total Ex-C Clubs]]&gt;0,Table16[[#This Row],[Total Intra-School Sports]]&gt;0,Table16[[#This Row],[Total Inter-School Sports]]&gt;0,Table16[[#This Row],[Community Clubs]]&gt;0),1,0)</f>
        <v>0</v>
      </c>
      <c r="HI181"/>
      <c r="HJ181" s="19"/>
    </row>
    <row r="182" spans="11:218" x14ac:dyDescent="0.25">
      <c r="K182" s="91">
        <f>SUM(Table16[[#This Row],[Challenge 1]:[Challenge 50]])</f>
        <v>0</v>
      </c>
      <c r="L182" s="2">
        <f>SUM(Table16[[#This Row],[Club 1]:[Club 50]])</f>
        <v>0</v>
      </c>
      <c r="M182" s="2">
        <f>SUM(Table16[[#This Row],[Intra-school sports 1]:[Intra-school sports 50]])</f>
        <v>0</v>
      </c>
      <c r="N182" s="2">
        <f>SUM(Table16[[#This Row],[Inter School sports 1]:[Inter School sports 50]])</f>
        <v>0</v>
      </c>
      <c r="O182" s="91">
        <f>COUNTIF(Table16[[#This Row],[Community club (type name of club(s). All clubs will count as ''1'']],"*")</f>
        <v>0</v>
      </c>
      <c r="P182" s="17">
        <f>IF(OR(Table16[[#This Row],[Total Challenges]]&gt;0,Table16[[#This Row],[Total Ex-C Clubs]]&gt;0,Table16[[#This Row],[Total Intra-School Sports]]&gt;0,Table16[[#This Row],[Total Inter-School Sports]]&gt;0,Table16[[#This Row],[Community Clubs]]&gt;0),1,0)</f>
        <v>0</v>
      </c>
      <c r="HI182"/>
      <c r="HJ182" s="19"/>
    </row>
    <row r="183" spans="11:218" x14ac:dyDescent="0.25">
      <c r="K183" s="91">
        <f>SUM(Table16[[#This Row],[Challenge 1]:[Challenge 50]])</f>
        <v>0</v>
      </c>
      <c r="L183" s="2">
        <f>SUM(Table16[[#This Row],[Club 1]:[Club 50]])</f>
        <v>0</v>
      </c>
      <c r="M183" s="2">
        <f>SUM(Table16[[#This Row],[Intra-school sports 1]:[Intra-school sports 50]])</f>
        <v>0</v>
      </c>
      <c r="N183" s="2">
        <f>SUM(Table16[[#This Row],[Inter School sports 1]:[Inter School sports 50]])</f>
        <v>0</v>
      </c>
      <c r="O183" s="91">
        <f>COUNTIF(Table16[[#This Row],[Community club (type name of club(s). All clubs will count as ''1'']],"*")</f>
        <v>0</v>
      </c>
      <c r="P183" s="17">
        <f>IF(OR(Table16[[#This Row],[Total Challenges]]&gt;0,Table16[[#This Row],[Total Ex-C Clubs]]&gt;0,Table16[[#This Row],[Total Intra-School Sports]]&gt;0,Table16[[#This Row],[Total Inter-School Sports]]&gt;0,Table16[[#This Row],[Community Clubs]]&gt;0),1,0)</f>
        <v>0</v>
      </c>
      <c r="HI183"/>
      <c r="HJ183" s="19"/>
    </row>
    <row r="184" spans="11:218" x14ac:dyDescent="0.25">
      <c r="K184" s="91">
        <f>SUM(Table16[[#This Row],[Challenge 1]:[Challenge 50]])</f>
        <v>0</v>
      </c>
      <c r="L184" s="2">
        <f>SUM(Table16[[#This Row],[Club 1]:[Club 50]])</f>
        <v>0</v>
      </c>
      <c r="M184" s="2">
        <f>SUM(Table16[[#This Row],[Intra-school sports 1]:[Intra-school sports 50]])</f>
        <v>0</v>
      </c>
      <c r="N184" s="2">
        <f>SUM(Table16[[#This Row],[Inter School sports 1]:[Inter School sports 50]])</f>
        <v>0</v>
      </c>
      <c r="O184" s="91">
        <f>COUNTIF(Table16[[#This Row],[Community club (type name of club(s). All clubs will count as ''1'']],"*")</f>
        <v>0</v>
      </c>
      <c r="P184" s="17">
        <f>IF(OR(Table16[[#This Row],[Total Challenges]]&gt;0,Table16[[#This Row],[Total Ex-C Clubs]]&gt;0,Table16[[#This Row],[Total Intra-School Sports]]&gt;0,Table16[[#This Row],[Total Inter-School Sports]]&gt;0,Table16[[#This Row],[Community Clubs]]&gt;0),1,0)</f>
        <v>0</v>
      </c>
      <c r="HI184"/>
      <c r="HJ184" s="19"/>
    </row>
    <row r="185" spans="11:218" x14ac:dyDescent="0.25">
      <c r="K185" s="91">
        <f>SUM(Table16[[#This Row],[Challenge 1]:[Challenge 50]])</f>
        <v>0</v>
      </c>
      <c r="L185" s="2">
        <f>SUM(Table16[[#This Row],[Club 1]:[Club 50]])</f>
        <v>0</v>
      </c>
      <c r="M185" s="2">
        <f>SUM(Table16[[#This Row],[Intra-school sports 1]:[Intra-school sports 50]])</f>
        <v>0</v>
      </c>
      <c r="N185" s="2">
        <f>SUM(Table16[[#This Row],[Inter School sports 1]:[Inter School sports 50]])</f>
        <v>0</v>
      </c>
      <c r="O185" s="91">
        <f>COUNTIF(Table16[[#This Row],[Community club (type name of club(s). All clubs will count as ''1'']],"*")</f>
        <v>0</v>
      </c>
      <c r="P185" s="17">
        <f>IF(OR(Table16[[#This Row],[Total Challenges]]&gt;0,Table16[[#This Row],[Total Ex-C Clubs]]&gt;0,Table16[[#This Row],[Total Intra-School Sports]]&gt;0,Table16[[#This Row],[Total Inter-School Sports]]&gt;0,Table16[[#This Row],[Community Clubs]]&gt;0),1,0)</f>
        <v>0</v>
      </c>
      <c r="HI185"/>
      <c r="HJ185" s="19"/>
    </row>
    <row r="186" spans="11:218" x14ac:dyDescent="0.25">
      <c r="K186" s="91">
        <f>SUM(Table16[[#This Row],[Challenge 1]:[Challenge 50]])</f>
        <v>0</v>
      </c>
      <c r="L186" s="2">
        <f>SUM(Table16[[#This Row],[Club 1]:[Club 50]])</f>
        <v>0</v>
      </c>
      <c r="M186" s="2">
        <f>SUM(Table16[[#This Row],[Intra-school sports 1]:[Intra-school sports 50]])</f>
        <v>0</v>
      </c>
      <c r="N186" s="2">
        <f>SUM(Table16[[#This Row],[Inter School sports 1]:[Inter School sports 50]])</f>
        <v>0</v>
      </c>
      <c r="O186" s="91">
        <f>COUNTIF(Table16[[#This Row],[Community club (type name of club(s). All clubs will count as ''1'']],"*")</f>
        <v>0</v>
      </c>
      <c r="P186" s="17">
        <f>IF(OR(Table16[[#This Row],[Total Challenges]]&gt;0,Table16[[#This Row],[Total Ex-C Clubs]]&gt;0,Table16[[#This Row],[Total Intra-School Sports]]&gt;0,Table16[[#This Row],[Total Inter-School Sports]]&gt;0,Table16[[#This Row],[Community Clubs]]&gt;0),1,0)</f>
        <v>0</v>
      </c>
      <c r="HI186"/>
      <c r="HJ186" s="19"/>
    </row>
    <row r="187" spans="11:218" x14ac:dyDescent="0.25">
      <c r="K187" s="91">
        <f>SUM(Table16[[#This Row],[Challenge 1]:[Challenge 50]])</f>
        <v>0</v>
      </c>
      <c r="L187" s="2">
        <f>SUM(Table16[[#This Row],[Club 1]:[Club 50]])</f>
        <v>0</v>
      </c>
      <c r="M187" s="2">
        <f>SUM(Table16[[#This Row],[Intra-school sports 1]:[Intra-school sports 50]])</f>
        <v>0</v>
      </c>
      <c r="N187" s="2">
        <f>SUM(Table16[[#This Row],[Inter School sports 1]:[Inter School sports 50]])</f>
        <v>0</v>
      </c>
      <c r="O187" s="91">
        <f>COUNTIF(Table16[[#This Row],[Community club (type name of club(s). All clubs will count as ''1'']],"*")</f>
        <v>0</v>
      </c>
      <c r="P187" s="17">
        <f>IF(OR(Table16[[#This Row],[Total Challenges]]&gt;0,Table16[[#This Row],[Total Ex-C Clubs]]&gt;0,Table16[[#This Row],[Total Intra-School Sports]]&gt;0,Table16[[#This Row],[Total Inter-School Sports]]&gt;0,Table16[[#This Row],[Community Clubs]]&gt;0),1,0)</f>
        <v>0</v>
      </c>
      <c r="HI187"/>
      <c r="HJ187" s="19"/>
    </row>
    <row r="188" spans="11:218" x14ac:dyDescent="0.25">
      <c r="K188" s="91">
        <f>SUM(Table16[[#This Row],[Challenge 1]:[Challenge 50]])</f>
        <v>0</v>
      </c>
      <c r="L188" s="2">
        <f>SUM(Table16[[#This Row],[Club 1]:[Club 50]])</f>
        <v>0</v>
      </c>
      <c r="M188" s="2">
        <f>SUM(Table16[[#This Row],[Intra-school sports 1]:[Intra-school sports 50]])</f>
        <v>0</v>
      </c>
      <c r="N188" s="2">
        <f>SUM(Table16[[#This Row],[Inter School sports 1]:[Inter School sports 50]])</f>
        <v>0</v>
      </c>
      <c r="O188" s="91">
        <f>COUNTIF(Table16[[#This Row],[Community club (type name of club(s). All clubs will count as ''1'']],"*")</f>
        <v>0</v>
      </c>
      <c r="P188" s="17">
        <f>IF(OR(Table16[[#This Row],[Total Challenges]]&gt;0,Table16[[#This Row],[Total Ex-C Clubs]]&gt;0,Table16[[#This Row],[Total Intra-School Sports]]&gt;0,Table16[[#This Row],[Total Inter-School Sports]]&gt;0,Table16[[#This Row],[Community Clubs]]&gt;0),1,0)</f>
        <v>0</v>
      </c>
      <c r="HI188"/>
      <c r="HJ188" s="19"/>
    </row>
    <row r="189" spans="11:218" x14ac:dyDescent="0.25">
      <c r="K189" s="91">
        <f>SUM(Table16[[#This Row],[Challenge 1]:[Challenge 50]])</f>
        <v>0</v>
      </c>
      <c r="L189" s="2">
        <f>SUM(Table16[[#This Row],[Club 1]:[Club 50]])</f>
        <v>0</v>
      </c>
      <c r="M189" s="2">
        <f>SUM(Table16[[#This Row],[Intra-school sports 1]:[Intra-school sports 50]])</f>
        <v>0</v>
      </c>
      <c r="N189" s="2">
        <f>SUM(Table16[[#This Row],[Inter School sports 1]:[Inter School sports 50]])</f>
        <v>0</v>
      </c>
      <c r="O189" s="91">
        <f>COUNTIF(Table16[[#This Row],[Community club (type name of club(s). All clubs will count as ''1'']],"*")</f>
        <v>0</v>
      </c>
      <c r="P189" s="17">
        <f>IF(OR(Table16[[#This Row],[Total Challenges]]&gt;0,Table16[[#This Row],[Total Ex-C Clubs]]&gt;0,Table16[[#This Row],[Total Intra-School Sports]]&gt;0,Table16[[#This Row],[Total Inter-School Sports]]&gt;0,Table16[[#This Row],[Community Clubs]]&gt;0),1,0)</f>
        <v>0</v>
      </c>
      <c r="HI189"/>
      <c r="HJ189" s="19"/>
    </row>
    <row r="190" spans="11:218" x14ac:dyDescent="0.25">
      <c r="K190" s="91">
        <f>SUM(Table16[[#This Row],[Challenge 1]:[Challenge 50]])</f>
        <v>0</v>
      </c>
      <c r="L190" s="2">
        <f>SUM(Table16[[#This Row],[Club 1]:[Club 50]])</f>
        <v>0</v>
      </c>
      <c r="M190" s="2">
        <f>SUM(Table16[[#This Row],[Intra-school sports 1]:[Intra-school sports 50]])</f>
        <v>0</v>
      </c>
      <c r="N190" s="2">
        <f>SUM(Table16[[#This Row],[Inter School sports 1]:[Inter School sports 50]])</f>
        <v>0</v>
      </c>
      <c r="O190" s="91">
        <f>COUNTIF(Table16[[#This Row],[Community club (type name of club(s). All clubs will count as ''1'']],"*")</f>
        <v>0</v>
      </c>
      <c r="P190" s="17">
        <f>IF(OR(Table16[[#This Row],[Total Challenges]]&gt;0,Table16[[#This Row],[Total Ex-C Clubs]]&gt;0,Table16[[#This Row],[Total Intra-School Sports]]&gt;0,Table16[[#This Row],[Total Inter-School Sports]]&gt;0,Table16[[#This Row],[Community Clubs]]&gt;0),1,0)</f>
        <v>0</v>
      </c>
      <c r="HI190"/>
      <c r="HJ190" s="19"/>
    </row>
    <row r="191" spans="11:218" x14ac:dyDescent="0.25">
      <c r="K191" s="91">
        <f>SUM(Table16[[#This Row],[Challenge 1]:[Challenge 50]])</f>
        <v>0</v>
      </c>
      <c r="L191" s="2">
        <f>SUM(Table16[[#This Row],[Club 1]:[Club 50]])</f>
        <v>0</v>
      </c>
      <c r="M191" s="2">
        <f>SUM(Table16[[#This Row],[Intra-school sports 1]:[Intra-school sports 50]])</f>
        <v>0</v>
      </c>
      <c r="N191" s="2">
        <f>SUM(Table16[[#This Row],[Inter School sports 1]:[Inter School sports 50]])</f>
        <v>0</v>
      </c>
      <c r="O191" s="91">
        <f>COUNTIF(Table16[[#This Row],[Community club (type name of club(s). All clubs will count as ''1'']],"*")</f>
        <v>0</v>
      </c>
      <c r="P191" s="17">
        <f>IF(OR(Table16[[#This Row],[Total Challenges]]&gt;0,Table16[[#This Row],[Total Ex-C Clubs]]&gt;0,Table16[[#This Row],[Total Intra-School Sports]]&gt;0,Table16[[#This Row],[Total Inter-School Sports]]&gt;0,Table16[[#This Row],[Community Clubs]]&gt;0),1,0)</f>
        <v>0</v>
      </c>
      <c r="HI191"/>
      <c r="HJ191" s="19"/>
    </row>
    <row r="192" spans="11:218" x14ac:dyDescent="0.25">
      <c r="K192" s="91">
        <f>SUM(Table16[[#This Row],[Challenge 1]:[Challenge 50]])</f>
        <v>0</v>
      </c>
      <c r="L192" s="2">
        <f>SUM(Table16[[#This Row],[Club 1]:[Club 50]])</f>
        <v>0</v>
      </c>
      <c r="M192" s="2">
        <f>SUM(Table16[[#This Row],[Intra-school sports 1]:[Intra-school sports 50]])</f>
        <v>0</v>
      </c>
      <c r="N192" s="2">
        <f>SUM(Table16[[#This Row],[Inter School sports 1]:[Inter School sports 50]])</f>
        <v>0</v>
      </c>
      <c r="O192" s="91">
        <f>COUNTIF(Table16[[#This Row],[Community club (type name of club(s). All clubs will count as ''1'']],"*")</f>
        <v>0</v>
      </c>
      <c r="P192" s="17">
        <f>IF(OR(Table16[[#This Row],[Total Challenges]]&gt;0,Table16[[#This Row],[Total Ex-C Clubs]]&gt;0,Table16[[#This Row],[Total Intra-School Sports]]&gt;0,Table16[[#This Row],[Total Inter-School Sports]]&gt;0,Table16[[#This Row],[Community Clubs]]&gt;0),1,0)</f>
        <v>0</v>
      </c>
      <c r="HI192"/>
      <c r="HJ192" s="19"/>
    </row>
    <row r="193" spans="11:218" x14ac:dyDescent="0.25">
      <c r="K193" s="91">
        <f>SUM(Table16[[#This Row],[Challenge 1]:[Challenge 50]])</f>
        <v>0</v>
      </c>
      <c r="L193" s="2">
        <f>SUM(Table16[[#This Row],[Club 1]:[Club 50]])</f>
        <v>0</v>
      </c>
      <c r="M193" s="2">
        <f>SUM(Table16[[#This Row],[Intra-school sports 1]:[Intra-school sports 50]])</f>
        <v>0</v>
      </c>
      <c r="N193" s="2">
        <f>SUM(Table16[[#This Row],[Inter School sports 1]:[Inter School sports 50]])</f>
        <v>0</v>
      </c>
      <c r="O193" s="91">
        <f>COUNTIF(Table16[[#This Row],[Community club (type name of club(s). All clubs will count as ''1'']],"*")</f>
        <v>0</v>
      </c>
      <c r="P193" s="17">
        <f>IF(OR(Table16[[#This Row],[Total Challenges]]&gt;0,Table16[[#This Row],[Total Ex-C Clubs]]&gt;0,Table16[[#This Row],[Total Intra-School Sports]]&gt;0,Table16[[#This Row],[Total Inter-School Sports]]&gt;0,Table16[[#This Row],[Community Clubs]]&gt;0),1,0)</f>
        <v>0</v>
      </c>
      <c r="HI193"/>
      <c r="HJ193" s="19"/>
    </row>
    <row r="194" spans="11:218" x14ac:dyDescent="0.25">
      <c r="K194" s="91">
        <f>SUM(Table16[[#This Row],[Challenge 1]:[Challenge 50]])</f>
        <v>0</v>
      </c>
      <c r="L194" s="2">
        <f>SUM(Table16[[#This Row],[Club 1]:[Club 50]])</f>
        <v>0</v>
      </c>
      <c r="M194" s="2">
        <f>SUM(Table16[[#This Row],[Intra-school sports 1]:[Intra-school sports 50]])</f>
        <v>0</v>
      </c>
      <c r="N194" s="2">
        <f>SUM(Table16[[#This Row],[Inter School sports 1]:[Inter School sports 50]])</f>
        <v>0</v>
      </c>
      <c r="O194" s="91">
        <f>COUNTIF(Table16[[#This Row],[Community club (type name of club(s). All clubs will count as ''1'']],"*")</f>
        <v>0</v>
      </c>
      <c r="P194" s="17">
        <f>IF(OR(Table16[[#This Row],[Total Challenges]]&gt;0,Table16[[#This Row],[Total Ex-C Clubs]]&gt;0,Table16[[#This Row],[Total Intra-School Sports]]&gt;0,Table16[[#This Row],[Total Inter-School Sports]]&gt;0,Table16[[#This Row],[Community Clubs]]&gt;0),1,0)</f>
        <v>0</v>
      </c>
      <c r="HI194"/>
      <c r="HJ194" s="19"/>
    </row>
    <row r="195" spans="11:218" x14ac:dyDescent="0.25">
      <c r="K195" s="91">
        <f>SUM(Table16[[#This Row],[Challenge 1]:[Challenge 50]])</f>
        <v>0</v>
      </c>
      <c r="L195" s="2">
        <f>SUM(Table16[[#This Row],[Club 1]:[Club 50]])</f>
        <v>0</v>
      </c>
      <c r="M195" s="2">
        <f>SUM(Table16[[#This Row],[Intra-school sports 1]:[Intra-school sports 50]])</f>
        <v>0</v>
      </c>
      <c r="N195" s="2">
        <f>SUM(Table16[[#This Row],[Inter School sports 1]:[Inter School sports 50]])</f>
        <v>0</v>
      </c>
      <c r="O195" s="91">
        <f>COUNTIF(Table16[[#This Row],[Community club (type name of club(s). All clubs will count as ''1'']],"*")</f>
        <v>0</v>
      </c>
      <c r="P195" s="17">
        <f>IF(OR(Table16[[#This Row],[Total Challenges]]&gt;0,Table16[[#This Row],[Total Ex-C Clubs]]&gt;0,Table16[[#This Row],[Total Intra-School Sports]]&gt;0,Table16[[#This Row],[Total Inter-School Sports]]&gt;0,Table16[[#This Row],[Community Clubs]]&gt;0),1,0)</f>
        <v>0</v>
      </c>
      <c r="HI195"/>
      <c r="HJ195" s="19"/>
    </row>
    <row r="196" spans="11:218" x14ac:dyDescent="0.25">
      <c r="K196" s="91">
        <f>SUM(Table16[[#This Row],[Challenge 1]:[Challenge 50]])</f>
        <v>0</v>
      </c>
      <c r="L196" s="2">
        <f>SUM(Table16[[#This Row],[Club 1]:[Club 50]])</f>
        <v>0</v>
      </c>
      <c r="M196" s="2">
        <f>SUM(Table16[[#This Row],[Intra-school sports 1]:[Intra-school sports 50]])</f>
        <v>0</v>
      </c>
      <c r="N196" s="2">
        <f>SUM(Table16[[#This Row],[Inter School sports 1]:[Inter School sports 50]])</f>
        <v>0</v>
      </c>
      <c r="O196" s="91">
        <f>COUNTIF(Table16[[#This Row],[Community club (type name of club(s). All clubs will count as ''1'']],"*")</f>
        <v>0</v>
      </c>
      <c r="P196" s="17">
        <f>IF(OR(Table16[[#This Row],[Total Challenges]]&gt;0,Table16[[#This Row],[Total Ex-C Clubs]]&gt;0,Table16[[#This Row],[Total Intra-School Sports]]&gt;0,Table16[[#This Row],[Total Inter-School Sports]]&gt;0,Table16[[#This Row],[Community Clubs]]&gt;0),1,0)</f>
        <v>0</v>
      </c>
      <c r="HI196"/>
      <c r="HJ196" s="19"/>
    </row>
    <row r="197" spans="11:218" x14ac:dyDescent="0.25">
      <c r="K197" s="91">
        <f>SUM(Table16[[#This Row],[Challenge 1]:[Challenge 50]])</f>
        <v>0</v>
      </c>
      <c r="L197" s="2">
        <f>SUM(Table16[[#This Row],[Club 1]:[Club 50]])</f>
        <v>0</v>
      </c>
      <c r="M197" s="2">
        <f>SUM(Table16[[#This Row],[Intra-school sports 1]:[Intra-school sports 50]])</f>
        <v>0</v>
      </c>
      <c r="N197" s="2">
        <f>SUM(Table16[[#This Row],[Inter School sports 1]:[Inter School sports 50]])</f>
        <v>0</v>
      </c>
      <c r="O197" s="91">
        <f>COUNTIF(Table16[[#This Row],[Community club (type name of club(s). All clubs will count as ''1'']],"*")</f>
        <v>0</v>
      </c>
      <c r="P197" s="17">
        <f>IF(OR(Table16[[#This Row],[Total Challenges]]&gt;0,Table16[[#This Row],[Total Ex-C Clubs]]&gt;0,Table16[[#This Row],[Total Intra-School Sports]]&gt;0,Table16[[#This Row],[Total Inter-School Sports]]&gt;0,Table16[[#This Row],[Community Clubs]]&gt;0),1,0)</f>
        <v>0</v>
      </c>
      <c r="HI197"/>
      <c r="HJ197" s="19"/>
    </row>
    <row r="198" spans="11:218" x14ac:dyDescent="0.25">
      <c r="K198" s="91">
        <f>SUM(Table16[[#This Row],[Challenge 1]:[Challenge 50]])</f>
        <v>0</v>
      </c>
      <c r="L198" s="2">
        <f>SUM(Table16[[#This Row],[Club 1]:[Club 50]])</f>
        <v>0</v>
      </c>
      <c r="M198" s="2">
        <f>SUM(Table16[[#This Row],[Intra-school sports 1]:[Intra-school sports 50]])</f>
        <v>0</v>
      </c>
      <c r="N198" s="2">
        <f>SUM(Table16[[#This Row],[Inter School sports 1]:[Inter School sports 50]])</f>
        <v>0</v>
      </c>
      <c r="O198" s="91">
        <f>COUNTIF(Table16[[#This Row],[Community club (type name of club(s). All clubs will count as ''1'']],"*")</f>
        <v>0</v>
      </c>
      <c r="P198" s="17">
        <f>IF(OR(Table16[[#This Row],[Total Challenges]]&gt;0,Table16[[#This Row],[Total Ex-C Clubs]]&gt;0,Table16[[#This Row],[Total Intra-School Sports]]&gt;0,Table16[[#This Row],[Total Inter-School Sports]]&gt;0,Table16[[#This Row],[Community Clubs]]&gt;0),1,0)</f>
        <v>0</v>
      </c>
      <c r="HI198"/>
      <c r="HJ198" s="19"/>
    </row>
    <row r="199" spans="11:218" x14ac:dyDescent="0.25">
      <c r="K199" s="91">
        <f>SUM(Table16[[#This Row],[Challenge 1]:[Challenge 50]])</f>
        <v>0</v>
      </c>
      <c r="L199" s="2">
        <f>SUM(Table16[[#This Row],[Club 1]:[Club 50]])</f>
        <v>0</v>
      </c>
      <c r="M199" s="2">
        <f>SUM(Table16[[#This Row],[Intra-school sports 1]:[Intra-school sports 50]])</f>
        <v>0</v>
      </c>
      <c r="N199" s="2">
        <f>SUM(Table16[[#This Row],[Inter School sports 1]:[Inter School sports 50]])</f>
        <v>0</v>
      </c>
      <c r="O199" s="91">
        <f>COUNTIF(Table16[[#This Row],[Community club (type name of club(s). All clubs will count as ''1'']],"*")</f>
        <v>0</v>
      </c>
      <c r="P199" s="17">
        <f>IF(OR(Table16[[#This Row],[Total Challenges]]&gt;0,Table16[[#This Row],[Total Ex-C Clubs]]&gt;0,Table16[[#This Row],[Total Intra-School Sports]]&gt;0,Table16[[#This Row],[Total Inter-School Sports]]&gt;0,Table16[[#This Row],[Community Clubs]]&gt;0),1,0)</f>
        <v>0</v>
      </c>
      <c r="HI199"/>
      <c r="HJ199" s="19"/>
    </row>
    <row r="200" spans="11:218" x14ac:dyDescent="0.25">
      <c r="K200" s="91">
        <f>SUM(Table16[[#This Row],[Challenge 1]:[Challenge 50]])</f>
        <v>0</v>
      </c>
      <c r="L200" s="2">
        <f>SUM(Table16[[#This Row],[Club 1]:[Club 50]])</f>
        <v>0</v>
      </c>
      <c r="M200" s="2">
        <f>SUM(Table16[[#This Row],[Intra-school sports 1]:[Intra-school sports 50]])</f>
        <v>0</v>
      </c>
      <c r="N200" s="2">
        <f>SUM(Table16[[#This Row],[Inter School sports 1]:[Inter School sports 50]])</f>
        <v>0</v>
      </c>
      <c r="O200" s="91">
        <f>COUNTIF(Table16[[#This Row],[Community club (type name of club(s). All clubs will count as ''1'']],"*")</f>
        <v>0</v>
      </c>
      <c r="P200" s="17">
        <f>IF(OR(Table16[[#This Row],[Total Challenges]]&gt;0,Table16[[#This Row],[Total Ex-C Clubs]]&gt;0,Table16[[#This Row],[Total Intra-School Sports]]&gt;0,Table16[[#This Row],[Total Inter-School Sports]]&gt;0,Table16[[#This Row],[Community Clubs]]&gt;0),1,0)</f>
        <v>0</v>
      </c>
      <c r="HI200"/>
      <c r="HJ200" s="19"/>
    </row>
    <row r="201" spans="11:218" x14ac:dyDescent="0.25">
      <c r="K201" s="91">
        <f>SUM(Table16[[#This Row],[Challenge 1]:[Challenge 50]])</f>
        <v>0</v>
      </c>
      <c r="L201" s="2">
        <f>SUM(Table16[[#This Row],[Club 1]:[Club 50]])</f>
        <v>0</v>
      </c>
      <c r="M201" s="2">
        <f>SUM(Table16[[#This Row],[Intra-school sports 1]:[Intra-school sports 50]])</f>
        <v>0</v>
      </c>
      <c r="N201" s="2">
        <f>SUM(Table16[[#This Row],[Inter School sports 1]:[Inter School sports 50]])</f>
        <v>0</v>
      </c>
      <c r="O201" s="91">
        <f>COUNTIF(Table16[[#This Row],[Community club (type name of club(s). All clubs will count as ''1'']],"*")</f>
        <v>0</v>
      </c>
      <c r="P201" s="17">
        <f>IF(OR(Table16[[#This Row],[Total Challenges]]&gt;0,Table16[[#This Row],[Total Ex-C Clubs]]&gt;0,Table16[[#This Row],[Total Intra-School Sports]]&gt;0,Table16[[#This Row],[Total Inter-School Sports]]&gt;0,Table16[[#This Row],[Community Clubs]]&gt;0),1,0)</f>
        <v>0</v>
      </c>
      <c r="HI201"/>
      <c r="HJ201" s="19"/>
    </row>
    <row r="202" spans="11:218" x14ac:dyDescent="0.25">
      <c r="K202" s="91">
        <f>SUM(Table16[[#This Row],[Challenge 1]:[Challenge 50]])</f>
        <v>0</v>
      </c>
      <c r="L202" s="2">
        <f>SUM(Table16[[#This Row],[Club 1]:[Club 50]])</f>
        <v>0</v>
      </c>
      <c r="M202" s="2">
        <f>SUM(Table16[[#This Row],[Intra-school sports 1]:[Intra-school sports 50]])</f>
        <v>0</v>
      </c>
      <c r="N202" s="2">
        <f>SUM(Table16[[#This Row],[Inter School sports 1]:[Inter School sports 50]])</f>
        <v>0</v>
      </c>
      <c r="O202" s="91">
        <f>COUNTIF(Table16[[#This Row],[Community club (type name of club(s). All clubs will count as ''1'']],"*")</f>
        <v>0</v>
      </c>
      <c r="P202" s="17">
        <f>IF(OR(Table16[[#This Row],[Total Challenges]]&gt;0,Table16[[#This Row],[Total Ex-C Clubs]]&gt;0,Table16[[#This Row],[Total Intra-School Sports]]&gt;0,Table16[[#This Row],[Total Inter-School Sports]]&gt;0,Table16[[#This Row],[Community Clubs]]&gt;0),1,0)</f>
        <v>0</v>
      </c>
      <c r="HI202"/>
      <c r="HJ202" s="19"/>
    </row>
    <row r="203" spans="11:218" x14ac:dyDescent="0.25">
      <c r="K203" s="91">
        <f>SUM(Table16[[#This Row],[Challenge 1]:[Challenge 50]])</f>
        <v>0</v>
      </c>
      <c r="L203" s="2">
        <f>SUM(Table16[[#This Row],[Club 1]:[Club 50]])</f>
        <v>0</v>
      </c>
      <c r="M203" s="2">
        <f>SUM(Table16[[#This Row],[Intra-school sports 1]:[Intra-school sports 50]])</f>
        <v>0</v>
      </c>
      <c r="N203" s="2">
        <f>SUM(Table16[[#This Row],[Inter School sports 1]:[Inter School sports 50]])</f>
        <v>0</v>
      </c>
      <c r="O203" s="91">
        <f>COUNTIF(Table16[[#This Row],[Community club (type name of club(s). All clubs will count as ''1'']],"*")</f>
        <v>0</v>
      </c>
      <c r="P203" s="17">
        <f>IF(OR(Table16[[#This Row],[Total Challenges]]&gt;0,Table16[[#This Row],[Total Ex-C Clubs]]&gt;0,Table16[[#This Row],[Total Intra-School Sports]]&gt;0,Table16[[#This Row],[Total Inter-School Sports]]&gt;0,Table16[[#This Row],[Community Clubs]]&gt;0),1,0)</f>
        <v>0</v>
      </c>
      <c r="HI203"/>
      <c r="HJ203" s="19"/>
    </row>
    <row r="204" spans="11:218" x14ac:dyDescent="0.25">
      <c r="K204" s="91">
        <f>SUM(Table16[[#This Row],[Challenge 1]:[Challenge 50]])</f>
        <v>0</v>
      </c>
      <c r="L204" s="2">
        <f>SUM(Table16[[#This Row],[Club 1]:[Club 50]])</f>
        <v>0</v>
      </c>
      <c r="M204" s="2">
        <f>SUM(Table16[[#This Row],[Intra-school sports 1]:[Intra-school sports 50]])</f>
        <v>0</v>
      </c>
      <c r="N204" s="2">
        <f>SUM(Table16[[#This Row],[Inter School sports 1]:[Inter School sports 50]])</f>
        <v>0</v>
      </c>
      <c r="O204" s="91">
        <f>COUNTIF(Table16[[#This Row],[Community club (type name of club(s). All clubs will count as ''1'']],"*")</f>
        <v>0</v>
      </c>
      <c r="P204" s="17">
        <f>IF(OR(Table16[[#This Row],[Total Challenges]]&gt;0,Table16[[#This Row],[Total Ex-C Clubs]]&gt;0,Table16[[#This Row],[Total Intra-School Sports]]&gt;0,Table16[[#This Row],[Total Inter-School Sports]]&gt;0,Table16[[#This Row],[Community Clubs]]&gt;0),1,0)</f>
        <v>0</v>
      </c>
      <c r="HI204"/>
      <c r="HJ204" s="19"/>
    </row>
    <row r="205" spans="11:218" x14ac:dyDescent="0.25">
      <c r="K205" s="91">
        <f>SUM(Table16[[#This Row],[Challenge 1]:[Challenge 50]])</f>
        <v>0</v>
      </c>
      <c r="L205" s="2">
        <f>SUM(Table16[[#This Row],[Club 1]:[Club 50]])</f>
        <v>0</v>
      </c>
      <c r="M205" s="2">
        <f>SUM(Table16[[#This Row],[Intra-school sports 1]:[Intra-school sports 50]])</f>
        <v>0</v>
      </c>
      <c r="N205" s="2">
        <f>SUM(Table16[[#This Row],[Inter School sports 1]:[Inter School sports 50]])</f>
        <v>0</v>
      </c>
      <c r="O205" s="91">
        <f>COUNTIF(Table16[[#This Row],[Community club (type name of club(s). All clubs will count as ''1'']],"*")</f>
        <v>0</v>
      </c>
      <c r="P205" s="17">
        <f>IF(OR(Table16[[#This Row],[Total Challenges]]&gt;0,Table16[[#This Row],[Total Ex-C Clubs]]&gt;0,Table16[[#This Row],[Total Intra-School Sports]]&gt;0,Table16[[#This Row],[Total Inter-School Sports]]&gt;0,Table16[[#This Row],[Community Clubs]]&gt;0),1,0)</f>
        <v>0</v>
      </c>
      <c r="HI205"/>
      <c r="HJ205" s="19"/>
    </row>
    <row r="206" spans="11:218" x14ac:dyDescent="0.25">
      <c r="K206" s="91">
        <f>SUM(Table16[[#This Row],[Challenge 1]:[Challenge 50]])</f>
        <v>0</v>
      </c>
      <c r="L206" s="2">
        <f>SUM(Table16[[#This Row],[Club 1]:[Club 50]])</f>
        <v>0</v>
      </c>
      <c r="M206" s="2">
        <f>SUM(Table16[[#This Row],[Intra-school sports 1]:[Intra-school sports 50]])</f>
        <v>0</v>
      </c>
      <c r="N206" s="2">
        <f>SUM(Table16[[#This Row],[Inter School sports 1]:[Inter School sports 50]])</f>
        <v>0</v>
      </c>
      <c r="O206" s="91">
        <f>COUNTIF(Table16[[#This Row],[Community club (type name of club(s). All clubs will count as ''1'']],"*")</f>
        <v>0</v>
      </c>
      <c r="P206" s="17">
        <f>IF(OR(Table16[[#This Row],[Total Challenges]]&gt;0,Table16[[#This Row],[Total Ex-C Clubs]]&gt;0,Table16[[#This Row],[Total Intra-School Sports]]&gt;0,Table16[[#This Row],[Total Inter-School Sports]]&gt;0,Table16[[#This Row],[Community Clubs]]&gt;0),1,0)</f>
        <v>0</v>
      </c>
      <c r="HI206"/>
      <c r="HJ206" s="19"/>
    </row>
    <row r="207" spans="11:218" x14ac:dyDescent="0.25">
      <c r="K207" s="91">
        <f>SUM(Table16[[#This Row],[Challenge 1]:[Challenge 50]])</f>
        <v>0</v>
      </c>
      <c r="L207" s="2">
        <f>SUM(Table16[[#This Row],[Club 1]:[Club 50]])</f>
        <v>0</v>
      </c>
      <c r="M207" s="2">
        <f>SUM(Table16[[#This Row],[Intra-school sports 1]:[Intra-school sports 50]])</f>
        <v>0</v>
      </c>
      <c r="N207" s="2">
        <f>SUM(Table16[[#This Row],[Inter School sports 1]:[Inter School sports 50]])</f>
        <v>0</v>
      </c>
      <c r="O207" s="91">
        <f>COUNTIF(Table16[[#This Row],[Community club (type name of club(s). All clubs will count as ''1'']],"*")</f>
        <v>0</v>
      </c>
      <c r="P207" s="17">
        <f>IF(OR(Table16[[#This Row],[Total Challenges]]&gt;0,Table16[[#This Row],[Total Ex-C Clubs]]&gt;0,Table16[[#This Row],[Total Intra-School Sports]]&gt;0,Table16[[#This Row],[Total Inter-School Sports]]&gt;0,Table16[[#This Row],[Community Clubs]]&gt;0),1,0)</f>
        <v>0</v>
      </c>
      <c r="HI207"/>
      <c r="HJ207" s="19"/>
    </row>
    <row r="208" spans="11:218" x14ac:dyDescent="0.25">
      <c r="K208" s="91">
        <f>SUM(Table16[[#This Row],[Challenge 1]:[Challenge 50]])</f>
        <v>0</v>
      </c>
      <c r="L208" s="2">
        <f>SUM(Table16[[#This Row],[Club 1]:[Club 50]])</f>
        <v>0</v>
      </c>
      <c r="M208" s="2">
        <f>SUM(Table16[[#This Row],[Intra-school sports 1]:[Intra-school sports 50]])</f>
        <v>0</v>
      </c>
      <c r="N208" s="2">
        <f>SUM(Table16[[#This Row],[Inter School sports 1]:[Inter School sports 50]])</f>
        <v>0</v>
      </c>
      <c r="O208" s="91">
        <f>COUNTIF(Table16[[#This Row],[Community club (type name of club(s). All clubs will count as ''1'']],"*")</f>
        <v>0</v>
      </c>
      <c r="P208" s="17">
        <f>IF(OR(Table16[[#This Row],[Total Challenges]]&gt;0,Table16[[#This Row],[Total Ex-C Clubs]]&gt;0,Table16[[#This Row],[Total Intra-School Sports]]&gt;0,Table16[[#This Row],[Total Inter-School Sports]]&gt;0,Table16[[#This Row],[Community Clubs]]&gt;0),1,0)</f>
        <v>0</v>
      </c>
      <c r="HI208"/>
      <c r="HJ208" s="19"/>
    </row>
    <row r="209" spans="1:218" x14ac:dyDescent="0.25">
      <c r="K209" s="91">
        <f>SUM(Table16[[#This Row],[Challenge 1]:[Challenge 50]])</f>
        <v>0</v>
      </c>
      <c r="L209" s="2">
        <f>SUM(Table16[[#This Row],[Club 1]:[Club 50]])</f>
        <v>0</v>
      </c>
      <c r="M209" s="2">
        <f>SUM(Table16[[#This Row],[Intra-school sports 1]:[Intra-school sports 50]])</f>
        <v>0</v>
      </c>
      <c r="N209" s="2">
        <f>SUM(Table16[[#This Row],[Inter School sports 1]:[Inter School sports 50]])</f>
        <v>0</v>
      </c>
      <c r="O209" s="91">
        <f>COUNTIF(Table16[[#This Row],[Community club (type name of club(s). All clubs will count as ''1'']],"*")</f>
        <v>0</v>
      </c>
      <c r="P209" s="17">
        <f>IF(OR(Table16[[#This Row],[Total Challenges]]&gt;0,Table16[[#This Row],[Total Ex-C Clubs]]&gt;0,Table16[[#This Row],[Total Intra-School Sports]]&gt;0,Table16[[#This Row],[Total Inter-School Sports]]&gt;0,Table16[[#This Row],[Community Clubs]]&gt;0),1,0)</f>
        <v>0</v>
      </c>
      <c r="HI209"/>
      <c r="HJ209" s="19"/>
    </row>
    <row r="210" spans="1:218" x14ac:dyDescent="0.25">
      <c r="K210" s="91">
        <f>SUM(Table16[[#This Row],[Challenge 1]:[Challenge 50]])</f>
        <v>0</v>
      </c>
      <c r="L210" s="2">
        <f>SUM(Table16[[#This Row],[Club 1]:[Club 50]])</f>
        <v>0</v>
      </c>
      <c r="M210" s="2">
        <f>SUM(Table16[[#This Row],[Intra-school sports 1]:[Intra-school sports 50]])</f>
        <v>0</v>
      </c>
      <c r="N210" s="2">
        <f>SUM(Table16[[#This Row],[Inter School sports 1]:[Inter School sports 50]])</f>
        <v>0</v>
      </c>
      <c r="O210" s="91">
        <f>COUNTIF(Table16[[#This Row],[Community club (type name of club(s). All clubs will count as ''1'']],"*")</f>
        <v>0</v>
      </c>
      <c r="P210" s="17">
        <f>IF(OR(Table16[[#This Row],[Total Challenges]]&gt;0,Table16[[#This Row],[Total Ex-C Clubs]]&gt;0,Table16[[#This Row],[Total Intra-School Sports]]&gt;0,Table16[[#This Row],[Total Inter-School Sports]]&gt;0,Table16[[#This Row],[Community Clubs]]&gt;0),1,0)</f>
        <v>0</v>
      </c>
      <c r="HI210"/>
      <c r="HJ210" s="19"/>
    </row>
    <row r="211" spans="1:218" x14ac:dyDescent="0.25">
      <c r="K211" s="91">
        <f>SUM(Table16[[#This Row],[Challenge 1]:[Challenge 50]])</f>
        <v>0</v>
      </c>
      <c r="L211" s="2">
        <f>SUM(Table16[[#This Row],[Club 1]:[Club 50]])</f>
        <v>0</v>
      </c>
      <c r="M211" s="2">
        <f>SUM(Table16[[#This Row],[Intra-school sports 1]:[Intra-school sports 50]])</f>
        <v>0</v>
      </c>
      <c r="N211" s="2">
        <f>SUM(Table16[[#This Row],[Inter School sports 1]:[Inter School sports 50]])</f>
        <v>0</v>
      </c>
      <c r="O211" s="91">
        <f>COUNTIF(Table16[[#This Row],[Community club (type name of club(s). All clubs will count as ''1'']],"*")</f>
        <v>0</v>
      </c>
      <c r="P211" s="17">
        <f>IF(OR(Table16[[#This Row],[Total Challenges]]&gt;0,Table16[[#This Row],[Total Ex-C Clubs]]&gt;0,Table16[[#This Row],[Total Intra-School Sports]]&gt;0,Table16[[#This Row],[Total Inter-School Sports]]&gt;0,Table16[[#This Row],[Community Clubs]]&gt;0),1,0)</f>
        <v>0</v>
      </c>
      <c r="HI211"/>
      <c r="HJ211" s="19"/>
    </row>
    <row r="212" spans="1:218" x14ac:dyDescent="0.25">
      <c r="K212" s="91">
        <f>SUM(Table16[[#This Row],[Challenge 1]:[Challenge 50]])</f>
        <v>0</v>
      </c>
      <c r="L212" s="2">
        <f>SUM(Table16[[#This Row],[Club 1]:[Club 50]])</f>
        <v>0</v>
      </c>
      <c r="M212" s="2">
        <f>SUM(Table16[[#This Row],[Intra-school sports 1]:[Intra-school sports 50]])</f>
        <v>0</v>
      </c>
      <c r="N212" s="2">
        <f>SUM(Table16[[#This Row],[Inter School sports 1]:[Inter School sports 50]])</f>
        <v>0</v>
      </c>
      <c r="O212" s="91">
        <f>COUNTIF(Table16[[#This Row],[Community club (type name of club(s). All clubs will count as ''1'']],"*")</f>
        <v>0</v>
      </c>
      <c r="P212" s="17">
        <f>IF(OR(Table16[[#This Row],[Total Challenges]]&gt;0,Table16[[#This Row],[Total Ex-C Clubs]]&gt;0,Table16[[#This Row],[Total Intra-School Sports]]&gt;0,Table16[[#This Row],[Total Inter-School Sports]]&gt;0,Table16[[#This Row],[Community Clubs]]&gt;0),1,0)</f>
        <v>0</v>
      </c>
      <c r="HI212"/>
      <c r="HJ212" s="19"/>
    </row>
    <row r="213" spans="1:218" x14ac:dyDescent="0.25">
      <c r="K213" s="91">
        <f>SUM(Table16[[#This Row],[Challenge 1]:[Challenge 50]])</f>
        <v>0</v>
      </c>
      <c r="L213" s="2">
        <f>SUM(Table16[[#This Row],[Club 1]:[Club 50]])</f>
        <v>0</v>
      </c>
      <c r="M213" s="2">
        <f>SUM(Table16[[#This Row],[Intra-school sports 1]:[Intra-school sports 50]])</f>
        <v>0</v>
      </c>
      <c r="N213" s="2">
        <f>SUM(Table16[[#This Row],[Inter School sports 1]:[Inter School sports 50]])</f>
        <v>0</v>
      </c>
      <c r="O213" s="91">
        <f>COUNTIF(Table16[[#This Row],[Community club (type name of club(s). All clubs will count as ''1'']],"*")</f>
        <v>0</v>
      </c>
      <c r="P213" s="17">
        <f>IF(OR(Table16[[#This Row],[Total Challenges]]&gt;0,Table16[[#This Row],[Total Ex-C Clubs]]&gt;0,Table16[[#This Row],[Total Intra-School Sports]]&gt;0,Table16[[#This Row],[Total Inter-School Sports]]&gt;0,Table16[[#This Row],[Community Clubs]]&gt;0),1,0)</f>
        <v>0</v>
      </c>
      <c r="HI213"/>
      <c r="HJ213" s="19"/>
    </row>
    <row r="214" spans="1:218" x14ac:dyDescent="0.25">
      <c r="K214" s="91">
        <f>SUM(Table16[[#This Row],[Challenge 1]:[Challenge 50]])</f>
        <v>0</v>
      </c>
      <c r="L214" s="2">
        <f>SUM(Table16[[#This Row],[Club 1]:[Club 50]])</f>
        <v>0</v>
      </c>
      <c r="M214" s="2">
        <f>SUM(Table16[[#This Row],[Intra-school sports 1]:[Intra-school sports 50]])</f>
        <v>0</v>
      </c>
      <c r="N214" s="2">
        <f>SUM(Table16[[#This Row],[Inter School sports 1]:[Inter School sports 50]])</f>
        <v>0</v>
      </c>
      <c r="O214" s="91">
        <f>COUNTIF(Table16[[#This Row],[Community club (type name of club(s). All clubs will count as ''1'']],"*")</f>
        <v>0</v>
      </c>
      <c r="P214" s="17">
        <f>IF(OR(Table16[[#This Row],[Total Challenges]]&gt;0,Table16[[#This Row],[Total Ex-C Clubs]]&gt;0,Table16[[#This Row],[Total Intra-School Sports]]&gt;0,Table16[[#This Row],[Total Inter-School Sports]]&gt;0,Table16[[#This Row],[Community Clubs]]&gt;0),1,0)</f>
        <v>0</v>
      </c>
      <c r="HI214"/>
      <c r="HJ214" s="19"/>
    </row>
    <row r="215" spans="1:218" x14ac:dyDescent="0.25">
      <c r="K215" s="91">
        <f>SUM(Table16[[#This Row],[Challenge 1]:[Challenge 50]])</f>
        <v>0</v>
      </c>
      <c r="L215" s="2">
        <f>SUM(Table16[[#This Row],[Club 1]:[Club 50]])</f>
        <v>0</v>
      </c>
      <c r="M215" s="2">
        <f>SUM(Table16[[#This Row],[Intra-school sports 1]:[Intra-school sports 50]])</f>
        <v>0</v>
      </c>
      <c r="N215" s="2">
        <f>SUM(Table16[[#This Row],[Inter School sports 1]:[Inter School sports 50]])</f>
        <v>0</v>
      </c>
      <c r="O215" s="91">
        <f>COUNTIF(Table16[[#This Row],[Community club (type name of club(s). All clubs will count as ''1'']],"*")</f>
        <v>0</v>
      </c>
      <c r="P215" s="17">
        <f>IF(OR(Table16[[#This Row],[Total Challenges]]&gt;0,Table16[[#This Row],[Total Ex-C Clubs]]&gt;0,Table16[[#This Row],[Total Intra-School Sports]]&gt;0,Table16[[#This Row],[Total Inter-School Sports]]&gt;0,Table16[[#This Row],[Community Clubs]]&gt;0),1,0)</f>
        <v>0</v>
      </c>
      <c r="HI215"/>
      <c r="HJ215" s="19"/>
    </row>
    <row r="216" spans="1:218" x14ac:dyDescent="0.25">
      <c r="K216" s="91">
        <f>SUM(Table16[[#This Row],[Challenge 1]:[Challenge 50]])</f>
        <v>0</v>
      </c>
      <c r="L216" s="2">
        <f>SUM(Table16[[#This Row],[Club 1]:[Club 50]])</f>
        <v>0</v>
      </c>
      <c r="M216" s="2">
        <f>SUM(Table16[[#This Row],[Intra-school sports 1]:[Intra-school sports 50]])</f>
        <v>0</v>
      </c>
      <c r="N216" s="2">
        <f>SUM(Table16[[#This Row],[Inter School sports 1]:[Inter School sports 50]])</f>
        <v>0</v>
      </c>
      <c r="O216" s="91">
        <f>COUNTIF(Table16[[#This Row],[Community club (type name of club(s). All clubs will count as ''1'']],"*")</f>
        <v>0</v>
      </c>
      <c r="P216" s="17">
        <f>IF(OR(Table16[[#This Row],[Total Challenges]]&gt;0,Table16[[#This Row],[Total Ex-C Clubs]]&gt;0,Table16[[#This Row],[Total Intra-School Sports]]&gt;0,Table16[[#This Row],[Total Inter-School Sports]]&gt;0,Table16[[#This Row],[Community Clubs]]&gt;0),1,0)</f>
        <v>0</v>
      </c>
      <c r="HI216"/>
      <c r="HJ216" s="19"/>
    </row>
    <row r="217" spans="1:218" x14ac:dyDescent="0.25">
      <c r="K217" s="91">
        <f>SUM(Table16[[#This Row],[Challenge 1]:[Challenge 50]])</f>
        <v>0</v>
      </c>
      <c r="L217" s="2">
        <f>SUM(Table16[[#This Row],[Club 1]:[Club 50]])</f>
        <v>0</v>
      </c>
      <c r="M217" s="2">
        <f>SUM(Table16[[#This Row],[Intra-school sports 1]:[Intra-school sports 50]])</f>
        <v>0</v>
      </c>
      <c r="N217" s="2">
        <f>SUM(Table16[[#This Row],[Inter School sports 1]:[Inter School sports 50]])</f>
        <v>0</v>
      </c>
      <c r="O217" s="91">
        <f>COUNTIF(Table16[[#This Row],[Community club (type name of club(s). All clubs will count as ''1'']],"*")</f>
        <v>0</v>
      </c>
      <c r="P217" s="17">
        <f>IF(OR(Table16[[#This Row],[Total Challenges]]&gt;0,Table16[[#This Row],[Total Ex-C Clubs]]&gt;0,Table16[[#This Row],[Total Intra-School Sports]]&gt;0,Table16[[#This Row],[Total Inter-School Sports]]&gt;0,Table16[[#This Row],[Community Clubs]]&gt;0),1,0)</f>
        <v>0</v>
      </c>
      <c r="HI217"/>
      <c r="HJ217" s="19"/>
    </row>
    <row r="218" spans="1:218" x14ac:dyDescent="0.25">
      <c r="K218" s="91">
        <f>SUM(Table16[[#This Row],[Challenge 1]:[Challenge 50]])</f>
        <v>0</v>
      </c>
      <c r="L218" s="2">
        <f>SUM(Table16[[#This Row],[Club 1]:[Club 50]])</f>
        <v>0</v>
      </c>
      <c r="M218" s="2">
        <f>SUM(Table16[[#This Row],[Intra-school sports 1]:[Intra-school sports 50]])</f>
        <v>0</v>
      </c>
      <c r="N218" s="2">
        <f>SUM(Table16[[#This Row],[Inter School sports 1]:[Inter School sports 50]])</f>
        <v>0</v>
      </c>
      <c r="O218" s="91">
        <f>COUNTIF(Table16[[#This Row],[Community club (type name of club(s). All clubs will count as ''1'']],"*")</f>
        <v>0</v>
      </c>
      <c r="P218" s="17">
        <f>IF(OR(Table16[[#This Row],[Total Challenges]]&gt;0,Table16[[#This Row],[Total Ex-C Clubs]]&gt;0,Table16[[#This Row],[Total Intra-School Sports]]&gt;0,Table16[[#This Row],[Total Inter-School Sports]]&gt;0,Table16[[#This Row],[Community Clubs]]&gt;0),1,0)</f>
        <v>0</v>
      </c>
      <c r="HI218"/>
      <c r="HJ218" s="19"/>
    </row>
    <row r="219" spans="1:218" x14ac:dyDescent="0.25">
      <c r="K219" s="91">
        <f>SUM(Table16[[#This Row],[Challenge 1]:[Challenge 50]])</f>
        <v>0</v>
      </c>
      <c r="L219" s="2">
        <f>SUM(Table16[[#This Row],[Club 1]:[Club 50]])</f>
        <v>0</v>
      </c>
      <c r="M219" s="2">
        <f>SUM(Table16[[#This Row],[Intra-school sports 1]:[Intra-school sports 50]])</f>
        <v>0</v>
      </c>
      <c r="N219" s="2">
        <f>SUM(Table16[[#This Row],[Inter School sports 1]:[Inter School sports 50]])</f>
        <v>0</v>
      </c>
      <c r="O219" s="91">
        <f>COUNTIF(Table16[[#This Row],[Community club (type name of club(s). All clubs will count as ''1'']],"*")</f>
        <v>0</v>
      </c>
      <c r="P219" s="17">
        <f>IF(OR(Table16[[#This Row],[Total Challenges]]&gt;0,Table16[[#This Row],[Total Ex-C Clubs]]&gt;0,Table16[[#This Row],[Total Intra-School Sports]]&gt;0,Table16[[#This Row],[Total Inter-School Sports]]&gt;0,Table16[[#This Row],[Community Clubs]]&gt;0),1,0)</f>
        <v>0</v>
      </c>
      <c r="HI219"/>
      <c r="HJ219" s="19"/>
    </row>
    <row r="220" spans="1:218" x14ac:dyDescent="0.25">
      <c r="K220" s="91">
        <f>SUM(Table16[[#This Row],[Challenge 1]:[Challenge 50]])</f>
        <v>0</v>
      </c>
      <c r="L220" s="2">
        <f>SUM(Table16[[#This Row],[Club 1]:[Club 50]])</f>
        <v>0</v>
      </c>
      <c r="M220" s="2">
        <f>SUM(Table16[[#This Row],[Intra-school sports 1]:[Intra-school sports 50]])</f>
        <v>0</v>
      </c>
      <c r="N220" s="2">
        <f>SUM(Table16[[#This Row],[Inter School sports 1]:[Inter School sports 50]])</f>
        <v>0</v>
      </c>
      <c r="O220" s="91">
        <f>COUNTIF(Table16[[#This Row],[Community club (type name of club(s). All clubs will count as ''1'']],"*")</f>
        <v>0</v>
      </c>
      <c r="P220" s="17">
        <f>IF(OR(Table16[[#This Row],[Total Challenges]]&gt;0,Table16[[#This Row],[Total Ex-C Clubs]]&gt;0,Table16[[#This Row],[Total Intra-School Sports]]&gt;0,Table16[[#This Row],[Total Inter-School Sports]]&gt;0,Table16[[#This Row],[Community Clubs]]&gt;0),1,0)</f>
        <v>0</v>
      </c>
      <c r="HI220"/>
      <c r="HJ220" s="19"/>
    </row>
    <row r="221" spans="1:218" x14ac:dyDescent="0.25">
      <c r="A221" t="s">
        <v>57</v>
      </c>
      <c r="E221">
        <f>SUBTOTAL(109,Table16[FSM / PP])</f>
        <v>2</v>
      </c>
      <c r="F221">
        <f>SUBTOTAL(109,Table16[Ethnically Diverse])</f>
        <v>1</v>
      </c>
      <c r="G221">
        <f>SUBTOTAL(109,Table16[EAL])</f>
        <v>2</v>
      </c>
      <c r="H221">
        <f>SUBTOTAL(109,Table16[SEN])</f>
        <v>1</v>
      </c>
      <c r="I221">
        <f>SUBTOTAL(109,Table16[Young Leader])</f>
        <v>2</v>
      </c>
      <c r="J221">
        <f>SUBTOTAL(109,Table16[Least active])</f>
        <v>1</v>
      </c>
      <c r="K221" s="92">
        <f>SUBTOTAL(109,Table16[Total Challenges])</f>
        <v>0</v>
      </c>
      <c r="L221" s="92">
        <f>SUBTOTAL(109,Table16[Total Ex-C Clubs])</f>
        <v>4</v>
      </c>
      <c r="M221" s="92">
        <f>SUBTOTAL(109,Table16[Total Intra-School Sports])</f>
        <v>0</v>
      </c>
      <c r="N221" s="92">
        <f>SUBTOTAL(109,Table16[Total Inter-School Sports])</f>
        <v>1</v>
      </c>
      <c r="O221" s="92">
        <f>SUBTOTAL(109,Table16[Community Clubs])</f>
        <v>0</v>
      </c>
      <c r="P221" s="92">
        <f>SUBTOTAL(109,Table16[Active Opportunity])</f>
        <v>4</v>
      </c>
      <c r="Q221">
        <f>SUBTOTAL(109,Table16[Challenge 1])</f>
        <v>0</v>
      </c>
      <c r="R221">
        <f>SUBTOTAL(109,Table16[Challenge 2])</f>
        <v>0</v>
      </c>
      <c r="S221">
        <f>SUBTOTAL(109,Table16[Challenge 3])</f>
        <v>0</v>
      </c>
      <c r="T221">
        <f>SUBTOTAL(109,Table16[Challenge 4])</f>
        <v>0</v>
      </c>
      <c r="U221">
        <f>SUBTOTAL(109,Table16[Challenge 5])</f>
        <v>0</v>
      </c>
      <c r="V221">
        <f>SUBTOTAL(109,Table16[Challenge 6])</f>
        <v>0</v>
      </c>
      <c r="W221">
        <f>SUBTOTAL(109,Table16[Challenge 7])</f>
        <v>0</v>
      </c>
      <c r="X221">
        <f>SUBTOTAL(109,Table16[Challenge 8])</f>
        <v>0</v>
      </c>
      <c r="Y221">
        <f>SUBTOTAL(109,Table16[Challenge 9])</f>
        <v>0</v>
      </c>
      <c r="Z221">
        <f>SUBTOTAL(109,Table16[Challenge 10])</f>
        <v>0</v>
      </c>
      <c r="AA221">
        <f>SUBTOTAL(109,Table16[Challenge 11])</f>
        <v>0</v>
      </c>
      <c r="AB221">
        <f>SUBTOTAL(109,Table16[Challenge 12])</f>
        <v>0</v>
      </c>
      <c r="AC221">
        <f>SUBTOTAL(109,Table16[Challenge 13])</f>
        <v>0</v>
      </c>
      <c r="AD221">
        <f>SUBTOTAL(109,Table16[Challenge 14])</f>
        <v>0</v>
      </c>
      <c r="AE221">
        <f>SUBTOTAL(109,Table16[Challenge 15])</f>
        <v>0</v>
      </c>
      <c r="AF221">
        <f>SUBTOTAL(109,Table16[Challenge 16])</f>
        <v>0</v>
      </c>
      <c r="AG221">
        <f>SUBTOTAL(109,Table16[Challenge 17])</f>
        <v>0</v>
      </c>
      <c r="AH221">
        <f>SUBTOTAL(109,Table16[Challenge 18])</f>
        <v>0</v>
      </c>
      <c r="AI221">
        <f>SUBTOTAL(109,Table16[Challenge 19])</f>
        <v>0</v>
      </c>
      <c r="AJ221">
        <f>SUBTOTAL(109,Table16[Challenge 20])</f>
        <v>0</v>
      </c>
      <c r="AK221">
        <f>SUBTOTAL(109,Table16[Challenge 21])</f>
        <v>0</v>
      </c>
      <c r="AL221">
        <f>SUBTOTAL(109,Table16[Challenge 22])</f>
        <v>0</v>
      </c>
      <c r="AM221">
        <f>SUBTOTAL(109,Table16[Challenge 23])</f>
        <v>0</v>
      </c>
      <c r="AN221">
        <f>SUBTOTAL(109,Table16[Challenge 24])</f>
        <v>0</v>
      </c>
      <c r="AO221">
        <f>SUBTOTAL(109,Table16[Challenge 25])</f>
        <v>0</v>
      </c>
      <c r="AP221">
        <f>SUBTOTAL(109,Table16[Challenge 26])</f>
        <v>0</v>
      </c>
      <c r="AQ221">
        <f>SUBTOTAL(109,Table16[Challenge 27])</f>
        <v>0</v>
      </c>
      <c r="AR221">
        <f>SUBTOTAL(109,Table16[Challenge 28])</f>
        <v>0</v>
      </c>
      <c r="AS221">
        <f>SUBTOTAL(109,Table16[Challenge 29])</f>
        <v>0</v>
      </c>
      <c r="AT221">
        <f>SUBTOTAL(109,Table16[Challenge 30])</f>
        <v>0</v>
      </c>
      <c r="AU221">
        <f>SUBTOTAL(109,Table16[Challenge 31])</f>
        <v>0</v>
      </c>
      <c r="AV221">
        <f>SUBTOTAL(109,Table16[Challenge 32])</f>
        <v>0</v>
      </c>
      <c r="AW221">
        <f>SUBTOTAL(109,Table16[Challenge 33])</f>
        <v>0</v>
      </c>
      <c r="AX221">
        <f>SUBTOTAL(109,Table16[Challenge 34])</f>
        <v>0</v>
      </c>
      <c r="AY221">
        <f>SUBTOTAL(109,Table16[Challenge 35])</f>
        <v>0</v>
      </c>
      <c r="AZ221">
        <f>SUBTOTAL(109,Table16[Challenge 36])</f>
        <v>0</v>
      </c>
      <c r="BA221">
        <f>SUBTOTAL(109,Table16[Challenge 37])</f>
        <v>0</v>
      </c>
      <c r="BB221">
        <f>SUBTOTAL(109,Table16[Challenge 38])</f>
        <v>0</v>
      </c>
      <c r="BC221">
        <f>SUBTOTAL(109,Table16[Challenge 39])</f>
        <v>0</v>
      </c>
      <c r="BD221">
        <f>SUBTOTAL(109,Table16[Challenge 40])</f>
        <v>0</v>
      </c>
      <c r="BE221">
        <f>SUBTOTAL(109,Table16[Challenge 41])</f>
        <v>0</v>
      </c>
      <c r="BF221">
        <f>SUBTOTAL(109,Table16[Challenge 42])</f>
        <v>0</v>
      </c>
      <c r="BG221">
        <f>SUBTOTAL(109,Table16[Challenge 43])</f>
        <v>0</v>
      </c>
      <c r="BH221">
        <f>SUBTOTAL(109,Table16[Challenge 44])</f>
        <v>0</v>
      </c>
      <c r="BI221">
        <f>SUBTOTAL(109,Table16[Challenge 45])</f>
        <v>0</v>
      </c>
      <c r="BJ221">
        <f>SUBTOTAL(109,Table16[Challenge 46])</f>
        <v>0</v>
      </c>
      <c r="BK221">
        <f>SUBTOTAL(109,Table16[Challenge 47])</f>
        <v>0</v>
      </c>
      <c r="BL221">
        <f>SUBTOTAL(109,Table16[Challenge 48])</f>
        <v>0</v>
      </c>
      <c r="BM221">
        <f>SUBTOTAL(109,Table16[Challenge 49])</f>
        <v>0</v>
      </c>
      <c r="BN221">
        <f>SUBTOTAL(109,Table16[Challenge 50])</f>
        <v>0</v>
      </c>
      <c r="BO221">
        <f>SUBTOTAL(109,Table16[Club 1])</f>
        <v>4</v>
      </c>
      <c r="BP221">
        <f>SUBTOTAL(109,Table16[Club 2])</f>
        <v>0</v>
      </c>
      <c r="BQ221">
        <f>SUBTOTAL(109,Table16[Club 3])</f>
        <v>0</v>
      </c>
      <c r="BR221">
        <f>SUBTOTAL(109,Table16[Club 4])</f>
        <v>0</v>
      </c>
      <c r="BS221">
        <f>SUBTOTAL(109,Table16[Club 5])</f>
        <v>0</v>
      </c>
      <c r="BT221">
        <f>SUBTOTAL(109,Table16[Club 6])</f>
        <v>0</v>
      </c>
      <c r="BU221">
        <f>SUBTOTAL(109,Table16[Club 7])</f>
        <v>0</v>
      </c>
      <c r="BV221">
        <f>SUBTOTAL(109,Table16[Club 8])</f>
        <v>0</v>
      </c>
      <c r="BW221">
        <f>SUBTOTAL(109,Table16[Club 9])</f>
        <v>0</v>
      </c>
      <c r="BX221">
        <f>SUBTOTAL(109,Table16[Club 10])</f>
        <v>0</v>
      </c>
      <c r="BY221">
        <f>SUBTOTAL(109,Table16[Club 11])</f>
        <v>0</v>
      </c>
      <c r="BZ221">
        <f>SUBTOTAL(109,Table16[Club 12])</f>
        <v>0</v>
      </c>
      <c r="CA221">
        <f>SUBTOTAL(109,Table16[Club 13])</f>
        <v>0</v>
      </c>
      <c r="CB221">
        <f>SUBTOTAL(109,Table16[Club 14])</f>
        <v>0</v>
      </c>
      <c r="CC221">
        <f>SUBTOTAL(109,Table16[Club 15])</f>
        <v>0</v>
      </c>
      <c r="CD221">
        <f>SUBTOTAL(109,Table16[Club 16])</f>
        <v>0</v>
      </c>
      <c r="CE221">
        <f>SUBTOTAL(109,Table16[Club 17])</f>
        <v>0</v>
      </c>
      <c r="CF221">
        <f>SUBTOTAL(109,Table16[Club 18])</f>
        <v>0</v>
      </c>
      <c r="CG221">
        <f>SUBTOTAL(109,Table16[Club 19])</f>
        <v>0</v>
      </c>
      <c r="CH221">
        <f>SUBTOTAL(109,Table16[Club 20])</f>
        <v>0</v>
      </c>
      <c r="CI221">
        <f>SUBTOTAL(109,Table16[Club 21])</f>
        <v>0</v>
      </c>
      <c r="CJ221">
        <f>SUBTOTAL(109,Table16[Club 22])</f>
        <v>0</v>
      </c>
      <c r="CK221">
        <f>SUBTOTAL(109,Table16[Club 23])</f>
        <v>0</v>
      </c>
      <c r="CL221">
        <f>SUBTOTAL(109,Table16[Club 24])</f>
        <v>0</v>
      </c>
      <c r="CM221">
        <f>SUBTOTAL(109,Table16[Club 25])</f>
        <v>0</v>
      </c>
      <c r="CN221">
        <f>SUBTOTAL(109,Table16[Club 26])</f>
        <v>0</v>
      </c>
      <c r="CO221">
        <f>SUBTOTAL(109,Table16[Club 27])</f>
        <v>0</v>
      </c>
      <c r="CP221">
        <f>SUBTOTAL(109,Table16[Club 28])</f>
        <v>0</v>
      </c>
      <c r="CQ221">
        <f>SUBTOTAL(109,Table16[Club 29])</f>
        <v>0</v>
      </c>
      <c r="CR221">
        <f>SUBTOTAL(109,Table16[Club 30])</f>
        <v>0</v>
      </c>
      <c r="CS221">
        <f>SUBTOTAL(109,Table16[Club 31])</f>
        <v>0</v>
      </c>
      <c r="CT221">
        <f>SUBTOTAL(109,Table16[Club 32])</f>
        <v>0</v>
      </c>
      <c r="CU221">
        <f>SUBTOTAL(109,Table16[Club 33])</f>
        <v>0</v>
      </c>
      <c r="CV221">
        <f>SUBTOTAL(109,Table16[Club 34])</f>
        <v>0</v>
      </c>
      <c r="CW221">
        <f>SUBTOTAL(109,Table16[Club 35])</f>
        <v>0</v>
      </c>
      <c r="CX221">
        <f>SUBTOTAL(109,Table16[Club 36])</f>
        <v>0</v>
      </c>
      <c r="CY221">
        <f>SUBTOTAL(109,Table16[Club 37])</f>
        <v>0</v>
      </c>
      <c r="CZ221">
        <f>SUBTOTAL(109,Table16[Club 38])</f>
        <v>0</v>
      </c>
      <c r="DA221">
        <f>SUBTOTAL(109,Table16[Club 39])</f>
        <v>0</v>
      </c>
      <c r="DB221">
        <f>SUBTOTAL(109,Table16[Club 40])</f>
        <v>0</v>
      </c>
      <c r="DC221">
        <f>SUBTOTAL(109,Table16[Club 41])</f>
        <v>0</v>
      </c>
      <c r="DD221">
        <f>SUBTOTAL(109,Table16[Club 42])</f>
        <v>0</v>
      </c>
      <c r="DE221">
        <f>SUBTOTAL(109,Table16[Club 43])</f>
        <v>0</v>
      </c>
      <c r="DF221">
        <f>SUBTOTAL(109,Table16[Club 44])</f>
        <v>0</v>
      </c>
      <c r="DG221">
        <f>SUBTOTAL(109,Table16[Club 45])</f>
        <v>0</v>
      </c>
      <c r="DH221">
        <f>SUBTOTAL(109,Table16[Club 46])</f>
        <v>0</v>
      </c>
      <c r="DI221">
        <f>SUBTOTAL(109,Table16[Club 47])</f>
        <v>0</v>
      </c>
      <c r="DJ221">
        <f>SUBTOTAL(109,Table16[Club 48])</f>
        <v>0</v>
      </c>
      <c r="DK221">
        <f>SUBTOTAL(109,Table16[Club 49])</f>
        <v>0</v>
      </c>
      <c r="DL221">
        <f>SUBTOTAL(109,Table16[Club 50])</f>
        <v>0</v>
      </c>
      <c r="DM221">
        <f>SUBTOTAL(109,Table16[Intra-school sports 1])</f>
        <v>0</v>
      </c>
      <c r="DN221">
        <f>SUBTOTAL(109,Table16[Intra-school sports 2])</f>
        <v>0</v>
      </c>
      <c r="DO221">
        <f>SUBTOTAL(109,Table16[Intra-school sports 3])</f>
        <v>0</v>
      </c>
      <c r="DP221">
        <f>SUBTOTAL(109,Table16[Intra-school sports 4])</f>
        <v>0</v>
      </c>
      <c r="DQ221">
        <f>SUBTOTAL(109,Table16[Intra-school sports 5])</f>
        <v>0</v>
      </c>
      <c r="DR221">
        <f>SUBTOTAL(109,Table16[Intra-school sports 6])</f>
        <v>0</v>
      </c>
      <c r="DS221">
        <f>SUBTOTAL(109,Table16[Intra-school sports 7])</f>
        <v>0</v>
      </c>
      <c r="DT221">
        <f>SUBTOTAL(109,Table16[Intra-school sports 8])</f>
        <v>0</v>
      </c>
      <c r="DU221">
        <f>SUBTOTAL(109,Table16[Intra-school sports 9])</f>
        <v>0</v>
      </c>
      <c r="DV221">
        <f>SUBTOTAL(109,Table16[Intra-school sports 10])</f>
        <v>0</v>
      </c>
      <c r="DW221">
        <f>SUBTOTAL(109,Table16[Intra-school sports 11])</f>
        <v>0</v>
      </c>
      <c r="DX221">
        <f>SUBTOTAL(109,Table16[Intra-school sports 12])</f>
        <v>0</v>
      </c>
      <c r="DY221">
        <f>SUBTOTAL(109,Table16[Intra-school sports 13])</f>
        <v>0</v>
      </c>
      <c r="DZ221">
        <f>SUBTOTAL(109,Table16[Intra-school sports 14])</f>
        <v>0</v>
      </c>
      <c r="EA221">
        <f>SUBTOTAL(109,Table16[Intra-school sports 15])</f>
        <v>0</v>
      </c>
      <c r="EB221">
        <f>SUBTOTAL(109,Table16[Intra-school sports 16])</f>
        <v>0</v>
      </c>
      <c r="EC221">
        <f>SUBTOTAL(109,Table16[Intra-school sports 17])</f>
        <v>0</v>
      </c>
      <c r="ED221">
        <f>SUBTOTAL(109,Table16[Intra-school sports 18])</f>
        <v>0</v>
      </c>
      <c r="EE221">
        <f>SUBTOTAL(109,Table16[Intra-school sports 19])</f>
        <v>0</v>
      </c>
      <c r="EF221">
        <f>SUBTOTAL(109,Table16[Intra-school sports 20])</f>
        <v>0</v>
      </c>
      <c r="EG221">
        <f>SUBTOTAL(109,Table16[Intra-school sports 21])</f>
        <v>0</v>
      </c>
      <c r="EH221">
        <f>SUBTOTAL(109,Table16[Intra-school sports 22])</f>
        <v>0</v>
      </c>
      <c r="EI221">
        <f>SUBTOTAL(109,Table16[Intra-school sports 23])</f>
        <v>0</v>
      </c>
      <c r="EJ221">
        <f>SUBTOTAL(109,Table16[Intra-school sports 24])</f>
        <v>0</v>
      </c>
      <c r="EK221">
        <f>SUBTOTAL(109,Table16[Intra-school sports 25])</f>
        <v>0</v>
      </c>
      <c r="EL221">
        <f>SUBTOTAL(109,Table16[Intra-school sports 26])</f>
        <v>0</v>
      </c>
      <c r="EM221">
        <f>SUBTOTAL(109,Table16[Intra-school sports 27])</f>
        <v>0</v>
      </c>
      <c r="EN221">
        <f>SUBTOTAL(109,Table16[Intra-school sports 28])</f>
        <v>0</v>
      </c>
      <c r="EO221">
        <f>SUBTOTAL(109,Table16[Intra-school sports 29])</f>
        <v>0</v>
      </c>
      <c r="EP221">
        <f>SUBTOTAL(109,Table16[Intra-school sports 30])</f>
        <v>0</v>
      </c>
      <c r="EQ221">
        <f>SUBTOTAL(109,Table16[Intra-school sports 31])</f>
        <v>0</v>
      </c>
      <c r="ER221">
        <f>SUBTOTAL(109,Table16[Intra-school sports 32])</f>
        <v>0</v>
      </c>
      <c r="ES221">
        <f>SUBTOTAL(109,Table16[Intra-school sports 33])</f>
        <v>0</v>
      </c>
      <c r="ET221">
        <f>SUBTOTAL(109,Table16[Intra-school sports 34])</f>
        <v>0</v>
      </c>
      <c r="EU221">
        <f>SUBTOTAL(109,Table16[Intra-school sports 35])</f>
        <v>0</v>
      </c>
      <c r="EV221">
        <f>SUBTOTAL(109,Table16[Intra-school sports 36])</f>
        <v>0</v>
      </c>
      <c r="EW221">
        <f>SUBTOTAL(109,Table16[Intra-school sports 37])</f>
        <v>0</v>
      </c>
      <c r="EX221">
        <f>SUBTOTAL(109,Table16[Intra-school sports 38])</f>
        <v>0</v>
      </c>
      <c r="EY221">
        <f>SUBTOTAL(109,Table16[Intra-school sports 39])</f>
        <v>0</v>
      </c>
      <c r="EZ221">
        <f>SUBTOTAL(109,Table16[Intra-school sports 40])</f>
        <v>0</v>
      </c>
      <c r="FA221">
        <f>SUBTOTAL(109,Table16[Intra-school sports 41])</f>
        <v>0</v>
      </c>
      <c r="FB221">
        <f>SUBTOTAL(109,Table16[Intra-school sports 42])</f>
        <v>0</v>
      </c>
      <c r="FC221">
        <f>SUBTOTAL(109,Table16[Intra-school sports 43])</f>
        <v>0</v>
      </c>
      <c r="FD221">
        <f>SUBTOTAL(109,Table16[Intra-school sports 44])</f>
        <v>0</v>
      </c>
      <c r="FE221">
        <f>SUBTOTAL(109,Table16[Intra-school sports 45])</f>
        <v>0</v>
      </c>
      <c r="FF221">
        <f>SUBTOTAL(109,Table16[Intra-school sports 46])</f>
        <v>0</v>
      </c>
      <c r="FG221">
        <f>SUBTOTAL(109,Table16[Intra-school sports 47])</f>
        <v>0</v>
      </c>
      <c r="FH221">
        <f>SUBTOTAL(109,Table16[Intra-school sports 48])</f>
        <v>0</v>
      </c>
      <c r="FI221">
        <f>SUBTOTAL(109,Table16[Intra-school sports 49])</f>
        <v>0</v>
      </c>
      <c r="FJ221">
        <f>SUBTOTAL(109,Table16[Intra-school sports 50])</f>
        <v>0</v>
      </c>
      <c r="FK221">
        <f>SUBTOTAL(109,Table16[Inter School sports 1])</f>
        <v>1</v>
      </c>
      <c r="FL221">
        <f>SUBTOTAL(109,Table16[Inter School sports 2])</f>
        <v>0</v>
      </c>
      <c r="FM221">
        <f>SUBTOTAL(109,Table16[Inter School sports 3])</f>
        <v>0</v>
      </c>
      <c r="FN221">
        <f>SUBTOTAL(109,Table16[Inter School sports 4])</f>
        <v>0</v>
      </c>
      <c r="FO221">
        <f>SUBTOTAL(109,Table16[Inter School sports 5])</f>
        <v>0</v>
      </c>
      <c r="FP221">
        <f>SUBTOTAL(109,Table16[Inter School sports 6])</f>
        <v>0</v>
      </c>
      <c r="FQ221">
        <f>SUBTOTAL(109,Table16[Inter School sports 7])</f>
        <v>0</v>
      </c>
      <c r="FR221">
        <f>SUBTOTAL(109,Table16[Inter School sports 8])</f>
        <v>0</v>
      </c>
      <c r="FS221">
        <f>SUBTOTAL(109,Table16[Inter School sports 9])</f>
        <v>0</v>
      </c>
      <c r="FT221">
        <f>SUBTOTAL(109,Table16[Inter School sports 10])</f>
        <v>0</v>
      </c>
      <c r="FU221">
        <f>SUBTOTAL(109,Table16[Inter School sports 11])</f>
        <v>0</v>
      </c>
      <c r="FV221">
        <f>SUBTOTAL(109,Table16[Inter School sports 12])</f>
        <v>0</v>
      </c>
      <c r="FW221">
        <f>SUBTOTAL(109,Table16[Inter School sports 13])</f>
        <v>0</v>
      </c>
      <c r="FX221">
        <f>SUBTOTAL(109,Table16[Inter School sports 14])</f>
        <v>0</v>
      </c>
      <c r="FY221">
        <f>SUBTOTAL(109,Table16[Inter School sports 15])</f>
        <v>0</v>
      </c>
      <c r="FZ221">
        <f>SUBTOTAL(109,Table16[Inter School sports 16])</f>
        <v>0</v>
      </c>
      <c r="GA221">
        <f>SUBTOTAL(109,Table16[Inter School sports 17])</f>
        <v>0</v>
      </c>
      <c r="GB221">
        <f>SUBTOTAL(109,Table16[Inter School sports 18])</f>
        <v>0</v>
      </c>
      <c r="GC221">
        <f>SUBTOTAL(109,Table16[Inter School sports 19])</f>
        <v>0</v>
      </c>
      <c r="GD221">
        <f>SUBTOTAL(109,Table16[Inter School sports 20])</f>
        <v>0</v>
      </c>
      <c r="GE221">
        <f>SUBTOTAL(109,Table16[Inter School sports 21])</f>
        <v>0</v>
      </c>
      <c r="GF221">
        <f>SUBTOTAL(109,Table16[Inter School sports 22])</f>
        <v>0</v>
      </c>
      <c r="GG221">
        <f>SUBTOTAL(109,Table16[Inter School sports 23])</f>
        <v>0</v>
      </c>
      <c r="GH221">
        <f>SUBTOTAL(109,Table16[Inter School sports 24])</f>
        <v>0</v>
      </c>
      <c r="GI221">
        <f>SUBTOTAL(109,Table16[Inter School sports 25])</f>
        <v>0</v>
      </c>
      <c r="GJ221">
        <f>SUBTOTAL(109,Table16[Inter School sports 26])</f>
        <v>0</v>
      </c>
      <c r="GK221">
        <f>SUBTOTAL(109,Table16[Inter School sports 27])</f>
        <v>0</v>
      </c>
      <c r="GL221">
        <f>SUBTOTAL(109,Table16[Inter School sports 28])</f>
        <v>0</v>
      </c>
      <c r="GM221">
        <f>SUBTOTAL(109,Table16[Inter School sports 29])</f>
        <v>0</v>
      </c>
      <c r="GN221">
        <f>SUBTOTAL(109,Table16[Inter School sports 30])</f>
        <v>0</v>
      </c>
      <c r="GO221">
        <f>SUBTOTAL(109,Table16[Inter School sports 31])</f>
        <v>0</v>
      </c>
      <c r="GP221">
        <f>SUBTOTAL(109,Table16[Inter School sports 32])</f>
        <v>0</v>
      </c>
      <c r="GQ221">
        <f>SUBTOTAL(109,Table16[Inter School sports 33])</f>
        <v>0</v>
      </c>
      <c r="GR221">
        <f>SUBTOTAL(109,Table16[Inter School sports 34])</f>
        <v>0</v>
      </c>
      <c r="GS221">
        <f>SUBTOTAL(109,Table16[Inter School sports 35])</f>
        <v>0</v>
      </c>
      <c r="GT221">
        <f>SUBTOTAL(109,Table16[Inter School sports 36])</f>
        <v>0</v>
      </c>
      <c r="GU221">
        <f>SUBTOTAL(109,Table16[Inter School sports 37])</f>
        <v>0</v>
      </c>
      <c r="GV221">
        <f>SUBTOTAL(109,Table16[Inter School sports 38])</f>
        <v>0</v>
      </c>
      <c r="GW221">
        <f>SUBTOTAL(109,Table16[Inter School sports 39])</f>
        <v>0</v>
      </c>
      <c r="GX221">
        <f>SUBTOTAL(109,Table16[Inter School sports 40])</f>
        <v>0</v>
      </c>
      <c r="GY221">
        <f>SUBTOTAL(109,Table16[Inter School sports 41])</f>
        <v>0</v>
      </c>
      <c r="GZ221">
        <f>SUBTOTAL(109,Table16[Inter School sports 42])</f>
        <v>0</v>
      </c>
      <c r="HA221">
        <f>SUBTOTAL(109,Table16[Inter School sports 43])</f>
        <v>0</v>
      </c>
      <c r="HB221">
        <f>SUBTOTAL(109,Table16[Inter School sports 44])</f>
        <v>0</v>
      </c>
      <c r="HC221">
        <f>SUBTOTAL(109,Table16[Inter School sports 45])</f>
        <v>0</v>
      </c>
      <c r="HD221">
        <f>SUBTOTAL(109,Table16[Inter School sports 46])</f>
        <v>0</v>
      </c>
      <c r="HE221">
        <f>SUBTOTAL(109,Table16[Inter School sports 47])</f>
        <v>0</v>
      </c>
      <c r="HF221">
        <f>SUBTOTAL(109,Table16[Inter School sports 48])</f>
        <v>0</v>
      </c>
      <c r="HG221">
        <f>SUBTOTAL(109,Table16[Inter School sports 49])</f>
        <v>0</v>
      </c>
      <c r="HH221">
        <f>SUBTOTAL(109,Table16[Inter School sports 50])</f>
        <v>0</v>
      </c>
      <c r="HI221"/>
      <c r="HJ221" s="65"/>
    </row>
  </sheetData>
  <mergeCells count="5">
    <mergeCell ref="B1:J1"/>
    <mergeCell ref="Q1:BN1"/>
    <mergeCell ref="BO1:DL1"/>
    <mergeCell ref="DM1:FJ1"/>
    <mergeCell ref="FK1:HH1"/>
  </mergeCell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221"/>
  <sheetViews>
    <sheetView showGridLines="0" workbookViewId="0">
      <pane xSplit="10" ySplit="3" topLeftCell="K4" activePane="bottomRight" state="frozen"/>
      <selection pane="topRight" activeCell="K1" sqref="K1"/>
      <selection pane="bottomLeft" activeCell="A4" sqref="A4"/>
      <selection pane="bottomRight" activeCell="H12" sqref="H12"/>
    </sheetView>
  </sheetViews>
  <sheetFormatPr defaultRowHeight="15" x14ac:dyDescent="0.25"/>
  <cols>
    <col min="1" max="1" width="14.140625" customWidth="1"/>
    <col min="2" max="2" width="13.85546875" customWidth="1"/>
    <col min="3" max="3" width="7.5703125" customWidth="1"/>
    <col min="4" max="4" width="9.28515625" customWidth="1"/>
    <col min="5" max="5" width="3.28515625" customWidth="1"/>
    <col min="6" max="6" width="3.85546875" customWidth="1"/>
    <col min="7" max="9" width="3.28515625" customWidth="1"/>
    <col min="10" max="10" width="4.28515625" customWidth="1"/>
    <col min="11" max="11" width="4.28515625" style="2" customWidth="1"/>
    <col min="12" max="12" width="3.7109375" style="2" customWidth="1"/>
    <col min="13" max="16" width="4.28515625" style="2" customWidth="1"/>
    <col min="17" max="26" width="3.140625" customWidth="1"/>
    <col min="27" max="66" width="3.7109375" hidden="1" customWidth="1"/>
    <col min="67" max="81" width="2.5703125" customWidth="1"/>
    <col min="82" max="116" width="2.85546875" hidden="1" customWidth="1"/>
    <col min="117" max="131" width="3.140625" customWidth="1"/>
    <col min="132" max="166" width="3.7109375" hidden="1" customWidth="1"/>
    <col min="167" max="172" width="3.28515625" customWidth="1"/>
    <col min="173" max="181" width="3.140625" customWidth="1"/>
    <col min="182" max="216" width="3.140625" hidden="1" customWidth="1"/>
    <col min="217" max="217" width="24.140625" style="19" customWidth="1"/>
  </cols>
  <sheetData>
    <row r="1" spans="1:218" ht="43.5" customHeight="1" x14ac:dyDescent="0.25">
      <c r="B1" s="144" t="s">
        <v>315</v>
      </c>
      <c r="C1" s="144"/>
      <c r="D1" s="144"/>
      <c r="E1" s="144"/>
      <c r="F1" s="144"/>
      <c r="G1" s="144"/>
      <c r="H1" s="144"/>
      <c r="I1" s="144"/>
      <c r="J1" s="144"/>
      <c r="K1" s="86"/>
      <c r="L1" s="86"/>
      <c r="M1" s="86"/>
      <c r="N1" s="86"/>
      <c r="O1" s="86"/>
      <c r="P1" s="86"/>
      <c r="Q1" s="145" t="s">
        <v>31</v>
      </c>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6" t="s">
        <v>115</v>
      </c>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8" t="s">
        <v>323</v>
      </c>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9" t="s">
        <v>324</v>
      </c>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73"/>
    </row>
    <row r="2" spans="1:218" s="20" customFormat="1" ht="18.75" customHeight="1" x14ac:dyDescent="0.25">
      <c r="A2" s="20" t="s">
        <v>58</v>
      </c>
      <c r="E2" s="20">
        <f>Table167[[#Totals],[FSM / PP]]</f>
        <v>1</v>
      </c>
      <c r="F2" s="20">
        <f>Table167[[#Totals],[Ethnically Diverse]]</f>
        <v>0</v>
      </c>
      <c r="G2" s="20">
        <f>Table167[[#Totals],[EAL]]</f>
        <v>1</v>
      </c>
      <c r="H2" s="20">
        <f>Table167[[#Totals],[SEN]]</f>
        <v>0</v>
      </c>
      <c r="I2" s="20">
        <f>Table167[[#Totals],[Young Leader]]</f>
        <v>1</v>
      </c>
      <c r="J2" s="20">
        <f>Table167[[#Totals],[Least active]]</f>
        <v>0</v>
      </c>
      <c r="K2" s="87">
        <f>Table167[[#Totals],[Total Challenges]]</f>
        <v>1</v>
      </c>
      <c r="L2" s="87">
        <f>Table167[[#Totals],[Total Ex-C Clubs]]</f>
        <v>0</v>
      </c>
      <c r="M2" s="87">
        <f>Table167[[#Totals],[Total Intra-School Sports]]</f>
        <v>0</v>
      </c>
      <c r="N2" s="87">
        <f>Table167[[#Totals],[Total Inter-School Sports]]</f>
        <v>0</v>
      </c>
      <c r="O2" s="87">
        <f>Table167[[#Totals],[Community Clubs]]</f>
        <v>0</v>
      </c>
      <c r="P2" s="87">
        <f>Table167[[#Totals],[Active Opportunity]]</f>
        <v>1</v>
      </c>
      <c r="Q2" s="20">
        <f>Table167[[#Totals],[Challenge 1]]</f>
        <v>0</v>
      </c>
      <c r="R2" s="20">
        <f>Table167[[#Totals],[Challenge 2]]</f>
        <v>1</v>
      </c>
      <c r="S2" s="20">
        <f>Table167[[#Totals],[Challenge 3]]</f>
        <v>0</v>
      </c>
      <c r="T2" s="20">
        <f>Table167[[#Totals],[Challenge 4]]</f>
        <v>0</v>
      </c>
      <c r="U2" s="20">
        <f>Table167[[#Totals],[Challenge 5]]</f>
        <v>0</v>
      </c>
      <c r="V2" s="20">
        <f>Table167[[#Totals],[Challenge 6]]</f>
        <v>0</v>
      </c>
      <c r="W2" s="20">
        <f>Table167[[#Totals],[Challenge 7]]</f>
        <v>0</v>
      </c>
      <c r="X2" s="20">
        <f>Table167[[#Totals],[Challenge 8]]</f>
        <v>0</v>
      </c>
      <c r="Y2" s="20">
        <f>Table167[[#Totals],[Challenge 9]]</f>
        <v>0</v>
      </c>
      <c r="Z2" s="20">
        <f>Table167[[#Totals],[Challenge 10]]</f>
        <v>0</v>
      </c>
      <c r="AA2" s="20">
        <f>Table167[[#Totals],[Challenge 11]]</f>
        <v>0</v>
      </c>
      <c r="AB2" s="20">
        <f>Table167[[#Totals],[Challenge 12]]</f>
        <v>0</v>
      </c>
      <c r="AC2" s="20">
        <f>Table167[[#Totals],[Challenge 13]]</f>
        <v>0</v>
      </c>
      <c r="AD2" s="20">
        <f>Table167[[#Totals],[Challenge 14]]</f>
        <v>0</v>
      </c>
      <c r="AE2" s="20">
        <f>Table167[[#Totals],[Challenge 15]]</f>
        <v>0</v>
      </c>
      <c r="AF2" s="20">
        <f>Table167[[#Totals],[Challenge 16]]</f>
        <v>0</v>
      </c>
      <c r="AG2" s="20">
        <f>Table167[[#Totals],[Challenge 17]]</f>
        <v>0</v>
      </c>
      <c r="AH2" s="20">
        <f>Table167[[#Totals],[Challenge 18]]</f>
        <v>0</v>
      </c>
      <c r="AI2" s="20">
        <f>Table167[[#Totals],[Challenge 19]]</f>
        <v>0</v>
      </c>
      <c r="AJ2" s="20">
        <f>Table167[[#Totals],[Challenge 20]]</f>
        <v>0</v>
      </c>
      <c r="AK2" s="20">
        <f>Table167[[#Totals],[Challenge 21]]</f>
        <v>0</v>
      </c>
      <c r="AL2" s="20">
        <f>Table167[[#Totals],[Challenge 22]]</f>
        <v>0</v>
      </c>
      <c r="AM2" s="20">
        <f>Table167[[#Totals],[Challenge 23]]</f>
        <v>0</v>
      </c>
      <c r="AN2" s="20">
        <f>Table167[[#Totals],[Challenge 24]]</f>
        <v>0</v>
      </c>
      <c r="AO2" s="20">
        <f>Table167[[#Totals],[Challenge 25]]</f>
        <v>0</v>
      </c>
      <c r="AP2" s="20">
        <f>Table167[[#Totals],[Challenge 26]]</f>
        <v>0</v>
      </c>
      <c r="AQ2" s="20">
        <f>Table167[[#Totals],[Challenge 27]]</f>
        <v>0</v>
      </c>
      <c r="AR2" s="20">
        <f>Table167[[#Totals],[Challenge 28]]</f>
        <v>0</v>
      </c>
      <c r="AS2" s="20">
        <f>Table167[[#Totals],[Challenge 29]]</f>
        <v>0</v>
      </c>
      <c r="AT2" s="20">
        <f>Table167[[#Totals],[Challenge 30]]</f>
        <v>0</v>
      </c>
      <c r="AU2" s="20">
        <f>Table167[[#Totals],[Challenge 31]]</f>
        <v>0</v>
      </c>
      <c r="AV2" s="20">
        <f>Table167[[#Totals],[Challenge 32]]</f>
        <v>0</v>
      </c>
      <c r="AW2" s="20">
        <f>Table167[[#Totals],[Challenge 33]]</f>
        <v>0</v>
      </c>
      <c r="AX2" s="20">
        <f>Table167[[#Totals],[Challenge 34]]</f>
        <v>0</v>
      </c>
      <c r="AY2" s="20">
        <f>Table167[[#Totals],[Challenge 35]]</f>
        <v>0</v>
      </c>
      <c r="AZ2" s="20">
        <f>Table167[[#Totals],[Challenge 36]]</f>
        <v>0</v>
      </c>
      <c r="BA2" s="20">
        <f>Table167[[#Totals],[Challenge 37]]</f>
        <v>0</v>
      </c>
      <c r="BB2" s="20">
        <f>Table167[[#Totals],[Challenge 38]]</f>
        <v>0</v>
      </c>
      <c r="BC2" s="20">
        <f>Table167[[#Totals],[Challenge 39]]</f>
        <v>0</v>
      </c>
      <c r="BD2" s="20">
        <f>Table167[[#Totals],[Challenge 40]]</f>
        <v>0</v>
      </c>
      <c r="BE2" s="20">
        <f>Table167[[#Totals],[Challenge 41]]</f>
        <v>0</v>
      </c>
      <c r="BF2" s="20">
        <f>Table167[[#Totals],[Challenge 42]]</f>
        <v>0</v>
      </c>
      <c r="BG2" s="20">
        <f>Table167[[#Totals],[Challenge 43]]</f>
        <v>0</v>
      </c>
      <c r="BH2" s="20">
        <f>Table167[[#Totals],[Challenge 44]]</f>
        <v>0</v>
      </c>
      <c r="BI2" s="20">
        <f>Table167[[#Totals],[Challenge 45]]</f>
        <v>0</v>
      </c>
      <c r="BJ2" s="20">
        <f>Table167[[#Totals],[Challenge 46]]</f>
        <v>0</v>
      </c>
      <c r="BK2" s="20">
        <f>Table167[[#Totals],[Challenge 47]]</f>
        <v>0</v>
      </c>
      <c r="BL2" s="20">
        <f>Table167[[#Totals],[Challenge 48]]</f>
        <v>0</v>
      </c>
      <c r="BM2" s="20">
        <f>Table167[[#Totals],[Challenge 49]]</f>
        <v>0</v>
      </c>
      <c r="BN2" s="20">
        <f>Table167[[#Totals],[Challenge 50]]</f>
        <v>0</v>
      </c>
      <c r="BO2" s="20">
        <f>Table167[[#Totals],[Club 1]]</f>
        <v>0</v>
      </c>
      <c r="BP2" s="20">
        <f>Table167[[#Totals],[Club 2]]</f>
        <v>0</v>
      </c>
      <c r="BQ2" s="20">
        <f>Table167[[#Totals],[Club 3]]</f>
        <v>0</v>
      </c>
      <c r="BR2" s="20">
        <f>Table167[[#Totals],[Club 4]]</f>
        <v>0</v>
      </c>
      <c r="BS2" s="20">
        <f>Table167[[#Totals],[Club 5]]</f>
        <v>0</v>
      </c>
      <c r="BT2" s="20">
        <f>Table167[[#Totals],[Club 6]]</f>
        <v>0</v>
      </c>
      <c r="BU2" s="20">
        <f>Table167[[#Totals],[Club 7]]</f>
        <v>0</v>
      </c>
      <c r="BV2" s="20">
        <f>Table167[[#Totals],[Club 8]]</f>
        <v>0</v>
      </c>
      <c r="BW2" s="20">
        <f>Table167[[#Totals],[Club 9]]</f>
        <v>0</v>
      </c>
      <c r="BX2" s="20">
        <f>Table167[[#Totals],[Club 10]]</f>
        <v>0</v>
      </c>
      <c r="BY2" s="20">
        <f>Table167[[#Totals],[Club 11]]</f>
        <v>0</v>
      </c>
      <c r="BZ2" s="20">
        <f>Table167[[#Totals],[Club 12]]</f>
        <v>0</v>
      </c>
      <c r="CA2" s="20">
        <f>Table167[[#Totals],[Club 13]]</f>
        <v>0</v>
      </c>
      <c r="CB2" s="20">
        <f>Table167[[#Totals],[Club 14]]</f>
        <v>0</v>
      </c>
      <c r="CC2" s="20">
        <f>Table167[[#Totals],[Club 15]]</f>
        <v>0</v>
      </c>
      <c r="CD2" s="20">
        <f>Table167[[#Totals],[Club 16]]</f>
        <v>0</v>
      </c>
      <c r="CE2" s="20">
        <f>Table167[[#Totals],[Club 17]]</f>
        <v>0</v>
      </c>
      <c r="CF2" s="20">
        <f>Table167[[#Totals],[Club 18]]</f>
        <v>0</v>
      </c>
      <c r="CG2" s="20">
        <f>Table167[[#Totals],[Club 19]]</f>
        <v>0</v>
      </c>
      <c r="CH2" s="20">
        <f>Table167[[#Totals],[Club 20]]</f>
        <v>0</v>
      </c>
      <c r="CI2" s="20">
        <f>Table167[[#Totals],[Club 21]]</f>
        <v>0</v>
      </c>
      <c r="CJ2" s="20">
        <f>Table167[[#Totals],[Club 22]]</f>
        <v>0</v>
      </c>
      <c r="CK2" s="20">
        <f>Table167[[#Totals],[Club 23]]</f>
        <v>0</v>
      </c>
      <c r="CL2" s="20">
        <f>Table167[[#Totals],[Club 24]]</f>
        <v>0</v>
      </c>
      <c r="CM2" s="20">
        <f>Table167[[#Totals],[Club 25]]</f>
        <v>0</v>
      </c>
      <c r="CN2" s="20">
        <f>Table167[[#Totals],[Club 26]]</f>
        <v>0</v>
      </c>
      <c r="CO2" s="20">
        <f>Table167[[#Totals],[Club 27]]</f>
        <v>0</v>
      </c>
      <c r="CP2" s="20">
        <f>Table167[[#Totals],[Club 28]]</f>
        <v>0</v>
      </c>
      <c r="CQ2" s="20">
        <f>Table167[[#Totals],[Club 29]]</f>
        <v>0</v>
      </c>
      <c r="CR2" s="20">
        <f>Table167[[#Totals],[Club 30]]</f>
        <v>0</v>
      </c>
      <c r="CS2" s="20">
        <f>Table167[[#Totals],[Club 31]]</f>
        <v>0</v>
      </c>
      <c r="CT2" s="20">
        <f>Table167[[#Totals],[Club 32]]</f>
        <v>0</v>
      </c>
      <c r="CU2" s="20">
        <f>Table167[[#Totals],[Club 33]]</f>
        <v>0</v>
      </c>
      <c r="CV2" s="20">
        <f>Table167[[#Totals],[Club 34]]</f>
        <v>0</v>
      </c>
      <c r="CW2" s="20">
        <f>Table167[[#Totals],[Club 35]]</f>
        <v>0</v>
      </c>
      <c r="CX2" s="20">
        <f>Table167[[#Totals],[Club 36]]</f>
        <v>0</v>
      </c>
      <c r="CY2" s="20">
        <f>Table167[[#Totals],[Club 37]]</f>
        <v>0</v>
      </c>
      <c r="CZ2" s="20">
        <f>Table167[[#Totals],[Club 38]]</f>
        <v>0</v>
      </c>
      <c r="DA2" s="20">
        <f>Table167[[#Totals],[Club 39]]</f>
        <v>0</v>
      </c>
      <c r="DB2" s="20">
        <f>Table167[[#Totals],[Club 40]]</f>
        <v>0</v>
      </c>
      <c r="DC2" s="20">
        <f>Table167[[#Totals],[Club 41]]</f>
        <v>0</v>
      </c>
      <c r="DD2" s="20">
        <f>Table167[[#Totals],[Club 42]]</f>
        <v>0</v>
      </c>
      <c r="DE2" s="20">
        <f>Table167[[#Totals],[Club 43]]</f>
        <v>0</v>
      </c>
      <c r="DF2" s="20">
        <f>Table167[[#Totals],[Club 44]]</f>
        <v>0</v>
      </c>
      <c r="DG2" s="20">
        <f>Table167[[#Totals],[Club 45]]</f>
        <v>0</v>
      </c>
      <c r="DH2" s="20">
        <f>Table167[[#Totals],[Club 46]]</f>
        <v>0</v>
      </c>
      <c r="DI2" s="20">
        <f>Table167[[#Totals],[Club 47]]</f>
        <v>0</v>
      </c>
      <c r="DJ2" s="20">
        <f>Table167[[#Totals],[Club 48]]</f>
        <v>0</v>
      </c>
      <c r="DK2" s="20">
        <f>Table167[[#Totals],[Club 49]]</f>
        <v>0</v>
      </c>
      <c r="DL2" s="20">
        <f>Table167[[#Totals],[Club 50]]</f>
        <v>0</v>
      </c>
      <c r="DM2" s="20">
        <f>Table167[[#Totals],[Intra-school sports 1]]</f>
        <v>0</v>
      </c>
      <c r="DN2" s="20">
        <f>Table167[[#Totals],[Intra-school sports 2]]</f>
        <v>0</v>
      </c>
      <c r="DO2" s="20">
        <f>Table167[[#Totals],[Intra-school sports 3]]</f>
        <v>0</v>
      </c>
      <c r="DP2" s="20">
        <f>Table167[[#Totals],[Intra-school sports 4]]</f>
        <v>0</v>
      </c>
      <c r="DQ2" s="20">
        <f>Table167[[#Totals],[Intra-school sports 5]]</f>
        <v>0</v>
      </c>
      <c r="DR2" s="20">
        <f>Table167[[#Totals],[Intra-school sports 6]]</f>
        <v>0</v>
      </c>
      <c r="DS2" s="20">
        <f>Table167[[#Totals],[Intra-school sports 7]]</f>
        <v>0</v>
      </c>
      <c r="DT2" s="20">
        <f>Table167[[#Totals],[Intra-school sports 8]]</f>
        <v>0</v>
      </c>
      <c r="DU2" s="20">
        <f>Table167[[#Totals],[Intra-school sports 9]]</f>
        <v>0</v>
      </c>
      <c r="DV2" s="20">
        <f>Table167[[#Totals],[Intra-school sports 10]]</f>
        <v>0</v>
      </c>
      <c r="DW2" s="20">
        <f>Table167[[#Totals],[Intra-school sports 11]]</f>
        <v>0</v>
      </c>
      <c r="DX2" s="20">
        <f>Table167[[#Totals],[Intra-school sports 12]]</f>
        <v>0</v>
      </c>
      <c r="DY2" s="20">
        <f>Table167[[#Totals],[Intra-school sports 13]]</f>
        <v>0</v>
      </c>
      <c r="DZ2" s="20">
        <f>Table167[[#Totals],[Intra-school sports 14]]</f>
        <v>0</v>
      </c>
      <c r="EA2" s="20">
        <f>Table167[[#Totals],[Intra-school sports 15]]</f>
        <v>0</v>
      </c>
      <c r="EB2" s="20">
        <f>Table167[[#Totals],[Intra-school sports 16]]</f>
        <v>0</v>
      </c>
      <c r="EC2" s="20">
        <f>Table167[[#Totals],[Intra-school sports 17]]</f>
        <v>0</v>
      </c>
      <c r="ED2" s="20">
        <f>Table167[[#Totals],[Intra-school sports 18]]</f>
        <v>0</v>
      </c>
      <c r="EE2" s="20">
        <f>Table167[[#Totals],[Intra-school sports 19]]</f>
        <v>0</v>
      </c>
      <c r="EF2" s="20">
        <f>Table167[[#Totals],[Intra-school sports 20]]</f>
        <v>0</v>
      </c>
      <c r="EG2" s="20">
        <f>Table167[[#Totals],[Intra-school sports 21]]</f>
        <v>0</v>
      </c>
      <c r="EH2" s="20">
        <f>Table167[[#Totals],[Intra-school sports 22]]</f>
        <v>0</v>
      </c>
      <c r="EI2" s="20">
        <f>Table167[[#Totals],[Intra-school sports 23]]</f>
        <v>0</v>
      </c>
      <c r="EJ2" s="20">
        <f>Table167[[#Totals],[Intra-school sports 24]]</f>
        <v>0</v>
      </c>
      <c r="EK2" s="20">
        <f>Table167[[#Totals],[Intra-school sports 25]]</f>
        <v>0</v>
      </c>
      <c r="EL2" s="20">
        <f>Table167[[#Totals],[Intra-school sports 26]]</f>
        <v>0</v>
      </c>
      <c r="EM2" s="20">
        <f>Table167[[#Totals],[Intra-school sports 27]]</f>
        <v>0</v>
      </c>
      <c r="EN2" s="20">
        <f>Table167[[#Totals],[Intra-school sports 28]]</f>
        <v>0</v>
      </c>
      <c r="EO2" s="20">
        <f>Table167[[#Totals],[Intra-school sports 29]]</f>
        <v>0</v>
      </c>
      <c r="EP2" s="20">
        <f>Table167[[#Totals],[Intra-school sports 30]]</f>
        <v>0</v>
      </c>
      <c r="EQ2" s="20">
        <f>Table167[[#Totals],[Intra-school sports 31]]</f>
        <v>0</v>
      </c>
      <c r="ER2" s="20">
        <f>Table167[[#Totals],[Intra-school sports 32]]</f>
        <v>0</v>
      </c>
      <c r="ES2" s="20">
        <f>Table167[[#Totals],[Intra-school sports 33]]</f>
        <v>0</v>
      </c>
      <c r="ET2" s="20">
        <f>Table167[[#Totals],[Intra-school sports 34]]</f>
        <v>0</v>
      </c>
      <c r="EU2" s="20">
        <f>Table167[[#Totals],[Intra-school sports 35]]</f>
        <v>0</v>
      </c>
      <c r="EV2" s="20">
        <f>Table167[[#Totals],[Intra-school sports 36]]</f>
        <v>0</v>
      </c>
      <c r="EW2" s="20">
        <f>Table167[[#Totals],[Intra-school sports 37]]</f>
        <v>0</v>
      </c>
      <c r="EX2" s="20">
        <f>Table167[[#Totals],[Intra-school sports 38]]</f>
        <v>0</v>
      </c>
      <c r="EY2" s="20">
        <f>Table167[[#Totals],[Intra-school sports 39]]</f>
        <v>0</v>
      </c>
      <c r="EZ2" s="20">
        <f>Table167[[#Totals],[Intra-school sports 40]]</f>
        <v>0</v>
      </c>
      <c r="FA2" s="20">
        <f>Table167[[#Totals],[Intra-school sports 41]]</f>
        <v>0</v>
      </c>
      <c r="FB2" s="20">
        <f>Table167[[#Totals],[Intra-school sports 42]]</f>
        <v>0</v>
      </c>
      <c r="FC2" s="20">
        <f>Table167[[#Totals],[Intra-school sports 43]]</f>
        <v>0</v>
      </c>
      <c r="FD2" s="20">
        <f>Table167[[#Totals],[Intra-school sports 44]]</f>
        <v>0</v>
      </c>
      <c r="FE2" s="20">
        <f>Table167[[#Totals],[Intra-school sports 45]]</f>
        <v>0</v>
      </c>
      <c r="FF2" s="20">
        <f>Table167[[#Totals],[Intra-school sports 46]]</f>
        <v>0</v>
      </c>
      <c r="FG2" s="20">
        <f>Table167[[#Totals],[Intra-school sports 47]]</f>
        <v>0</v>
      </c>
      <c r="FH2" s="20">
        <f>Table167[[#Totals],[Intra-school sports 48]]</f>
        <v>0</v>
      </c>
      <c r="FI2" s="20">
        <f>Table167[[#Totals],[Intra-school sports 49]]</f>
        <v>0</v>
      </c>
      <c r="FJ2" s="20">
        <f>Table167[[#Totals],[Intra-school sports 50]]</f>
        <v>0</v>
      </c>
      <c r="FK2" s="20">
        <f>Table167[[#Totals],[Inter School sports 1]]</f>
        <v>0</v>
      </c>
      <c r="FL2" s="20">
        <f>Table167[[#Totals],[Inter School sports 2]]</f>
        <v>0</v>
      </c>
      <c r="FM2" s="20">
        <f>Table167[[#Totals],[Inter School sports 3]]</f>
        <v>0</v>
      </c>
      <c r="FN2" s="20">
        <f>Table167[[#Totals],[Inter School sports 4]]</f>
        <v>0</v>
      </c>
      <c r="FO2" s="20">
        <f>Table167[[#Totals],[Inter School sports 5]]</f>
        <v>0</v>
      </c>
      <c r="FP2" s="20">
        <f>Table167[[#Totals],[Inter School sports 6]]</f>
        <v>0</v>
      </c>
      <c r="FQ2" s="20">
        <f>Table167[[#Totals],[Inter School sports 7]]</f>
        <v>0</v>
      </c>
      <c r="FR2" s="20">
        <f>Table167[[#Totals],[Inter School sports 8]]</f>
        <v>0</v>
      </c>
      <c r="FS2" s="20">
        <f>Table167[[#Totals],[Inter School sports 9]]</f>
        <v>0</v>
      </c>
      <c r="FT2" s="20">
        <f>Table167[[#Totals],[Inter School sports 10]]</f>
        <v>0</v>
      </c>
      <c r="FU2" s="20">
        <f>Table167[[#Totals],[Inter School sports 11]]</f>
        <v>0</v>
      </c>
      <c r="FV2" s="20">
        <f>Table167[[#Totals],[Inter School sports 12]]</f>
        <v>0</v>
      </c>
      <c r="FW2" s="20">
        <f>Table167[[#Totals],[Inter School sports 13]]</f>
        <v>0</v>
      </c>
      <c r="FX2" s="20">
        <f>Table167[[#Totals],[Inter School sports 14]]</f>
        <v>0</v>
      </c>
      <c r="FY2" s="20">
        <f>Table167[[#Totals],[Inter School sports 15]]</f>
        <v>0</v>
      </c>
      <c r="FZ2" s="20">
        <f>Table167[[#Totals],[Inter School sports 16]]</f>
        <v>0</v>
      </c>
      <c r="GA2" s="20">
        <f>Table167[[#Totals],[Inter School sports 17]]</f>
        <v>0</v>
      </c>
      <c r="GB2" s="20">
        <f>Table167[[#Totals],[Inter School sports 18]]</f>
        <v>0</v>
      </c>
      <c r="GC2" s="20">
        <f>Table167[[#Totals],[Inter School sports 19]]</f>
        <v>0</v>
      </c>
      <c r="GD2" s="20">
        <f>Table167[[#Totals],[Inter School sports 20]]</f>
        <v>0</v>
      </c>
      <c r="GE2" s="20">
        <f>Table167[[#Totals],[Inter School sports 21]]</f>
        <v>0</v>
      </c>
      <c r="GF2" s="20">
        <f>Table167[[#Totals],[Inter School sports 22]]</f>
        <v>0</v>
      </c>
      <c r="GG2" s="20">
        <f>Table167[[#Totals],[Inter School sports 23]]</f>
        <v>0</v>
      </c>
      <c r="GH2" s="20">
        <f>Table167[[#Totals],[Inter School sports 24]]</f>
        <v>0</v>
      </c>
      <c r="GI2" s="20">
        <f>Table167[[#Totals],[Inter School sports 25]]</f>
        <v>0</v>
      </c>
      <c r="GJ2" s="20">
        <f>Table167[[#Totals],[Inter School sports 26]]</f>
        <v>0</v>
      </c>
      <c r="GK2" s="20">
        <f>Table167[[#Totals],[Inter School sports 27]]</f>
        <v>0</v>
      </c>
      <c r="GL2" s="20">
        <f>Table167[[#Totals],[Inter School sports 28]]</f>
        <v>0</v>
      </c>
      <c r="GM2" s="20">
        <f>Table167[[#Totals],[Inter School sports 29]]</f>
        <v>0</v>
      </c>
      <c r="GN2" s="20">
        <f>Table167[[#Totals],[Inter School sports 30]]</f>
        <v>0</v>
      </c>
      <c r="GO2" s="20">
        <f>Table167[[#Totals],[Inter School sports 31]]</f>
        <v>0</v>
      </c>
      <c r="GP2" s="20">
        <f>Table167[[#Totals],[Inter School sports 32]]</f>
        <v>0</v>
      </c>
      <c r="GQ2" s="20">
        <f>Table167[[#Totals],[Inter School sports 33]]</f>
        <v>0</v>
      </c>
      <c r="GR2" s="20">
        <f>Table167[[#Totals],[Inter School sports 34]]</f>
        <v>0</v>
      </c>
      <c r="GS2" s="20">
        <f>Table167[[#Totals],[Inter School sports 35]]</f>
        <v>0</v>
      </c>
      <c r="GT2" s="20">
        <f>Table167[[#Totals],[Inter School sports 36]]</f>
        <v>0</v>
      </c>
      <c r="GU2" s="20">
        <f>Table167[[#Totals],[Inter School sports 37]]</f>
        <v>0</v>
      </c>
      <c r="GV2" s="20">
        <f>Table167[[#Totals],[Inter School sports 38]]</f>
        <v>0</v>
      </c>
      <c r="GW2" s="20">
        <f>Table167[[#Totals],[Inter School sports 39]]</f>
        <v>0</v>
      </c>
      <c r="GX2" s="20">
        <f>Table167[[#Totals],[Inter School sports 40]]</f>
        <v>0</v>
      </c>
      <c r="GY2" s="20">
        <f>Table167[[#Totals],[Inter School sports 41]]</f>
        <v>0</v>
      </c>
      <c r="GZ2" s="20">
        <f>Table167[[#Totals],[Inter School sports 42]]</f>
        <v>0</v>
      </c>
      <c r="HA2" s="20">
        <f>Table167[[#Totals],[Inter School sports 43]]</f>
        <v>0</v>
      </c>
      <c r="HB2" s="20">
        <f>Table167[[#Totals],[Inter School sports 44]]</f>
        <v>0</v>
      </c>
      <c r="HC2" s="20">
        <f>Table167[[#Totals],[Inter School sports 45]]</f>
        <v>0</v>
      </c>
      <c r="HD2" s="20">
        <f>Table167[[#Totals],[Inter School sports 46]]</f>
        <v>0</v>
      </c>
      <c r="HE2" s="20">
        <f>Table167[[#Totals],[Inter School sports 47]]</f>
        <v>0</v>
      </c>
      <c r="HF2" s="20">
        <f>Table167[[#Totals],[Inter School sports 48]]</f>
        <v>0</v>
      </c>
      <c r="HG2" s="20">
        <f>Table167[[#Totals],[Inter School sports 49]]</f>
        <v>0</v>
      </c>
      <c r="HH2" s="20">
        <f>Table167[[#Totals],[Inter School sports 50]]</f>
        <v>0</v>
      </c>
      <c r="HJ2"/>
    </row>
    <row r="3" spans="1:218" ht="129.75" customHeight="1" x14ac:dyDescent="0.25">
      <c r="A3" s="15" t="s">
        <v>39</v>
      </c>
      <c r="B3" s="15" t="s">
        <v>40</v>
      </c>
      <c r="C3" s="15" t="s">
        <v>41</v>
      </c>
      <c r="D3" s="15" t="s">
        <v>317</v>
      </c>
      <c r="E3" s="16" t="s">
        <v>316</v>
      </c>
      <c r="F3" s="16" t="s">
        <v>332</v>
      </c>
      <c r="G3" s="16" t="s">
        <v>42</v>
      </c>
      <c r="H3" s="16" t="s">
        <v>43</v>
      </c>
      <c r="I3" s="16" t="s">
        <v>44</v>
      </c>
      <c r="J3" s="16" t="s">
        <v>74</v>
      </c>
      <c r="K3" s="23" t="s">
        <v>318</v>
      </c>
      <c r="L3" s="25" t="s">
        <v>319</v>
      </c>
      <c r="M3" s="26" t="s">
        <v>320</v>
      </c>
      <c r="N3" s="27" t="s">
        <v>321</v>
      </c>
      <c r="O3" s="74" t="s">
        <v>306</v>
      </c>
      <c r="P3" s="82" t="s">
        <v>322</v>
      </c>
      <c r="Q3" s="23" t="s">
        <v>51</v>
      </c>
      <c r="R3" s="23" t="s">
        <v>52</v>
      </c>
      <c r="S3" s="23" t="s">
        <v>53</v>
      </c>
      <c r="T3" s="23" t="s">
        <v>54</v>
      </c>
      <c r="U3" s="23" t="s">
        <v>55</v>
      </c>
      <c r="V3" s="23" t="s">
        <v>56</v>
      </c>
      <c r="W3" s="23" t="s">
        <v>162</v>
      </c>
      <c r="X3" s="23" t="s">
        <v>163</v>
      </c>
      <c r="Y3" s="23" t="s">
        <v>164</v>
      </c>
      <c r="Z3" s="23" t="s">
        <v>165</v>
      </c>
      <c r="AA3" s="23" t="s">
        <v>166</v>
      </c>
      <c r="AB3" s="23" t="s">
        <v>167</v>
      </c>
      <c r="AC3" s="23" t="s">
        <v>168</v>
      </c>
      <c r="AD3" s="23" t="s">
        <v>169</v>
      </c>
      <c r="AE3" s="23" t="s">
        <v>170</v>
      </c>
      <c r="AF3" s="23" t="s">
        <v>171</v>
      </c>
      <c r="AG3" s="23" t="s">
        <v>172</v>
      </c>
      <c r="AH3" s="23" t="s">
        <v>173</v>
      </c>
      <c r="AI3" s="23" t="s">
        <v>174</v>
      </c>
      <c r="AJ3" s="23" t="s">
        <v>175</v>
      </c>
      <c r="AK3" s="23" t="s">
        <v>176</v>
      </c>
      <c r="AL3" s="23" t="s">
        <v>177</v>
      </c>
      <c r="AM3" s="23" t="s">
        <v>178</v>
      </c>
      <c r="AN3" s="23" t="s">
        <v>179</v>
      </c>
      <c r="AO3" s="23" t="s">
        <v>180</v>
      </c>
      <c r="AP3" s="23" t="s">
        <v>181</v>
      </c>
      <c r="AQ3" s="23" t="s">
        <v>182</v>
      </c>
      <c r="AR3" s="23" t="s">
        <v>183</v>
      </c>
      <c r="AS3" s="23" t="s">
        <v>184</v>
      </c>
      <c r="AT3" s="23" t="s">
        <v>185</v>
      </c>
      <c r="AU3" s="23" t="s">
        <v>186</v>
      </c>
      <c r="AV3" s="23" t="s">
        <v>187</v>
      </c>
      <c r="AW3" s="23" t="s">
        <v>188</v>
      </c>
      <c r="AX3" s="23" t="s">
        <v>189</v>
      </c>
      <c r="AY3" s="23" t="s">
        <v>190</v>
      </c>
      <c r="AZ3" s="23" t="s">
        <v>191</v>
      </c>
      <c r="BA3" s="23" t="s">
        <v>192</v>
      </c>
      <c r="BB3" s="23" t="s">
        <v>193</v>
      </c>
      <c r="BC3" s="23" t="s">
        <v>194</v>
      </c>
      <c r="BD3" s="23" t="s">
        <v>195</v>
      </c>
      <c r="BE3" s="23" t="s">
        <v>196</v>
      </c>
      <c r="BF3" s="23" t="s">
        <v>197</v>
      </c>
      <c r="BG3" s="23" t="s">
        <v>198</v>
      </c>
      <c r="BH3" s="23" t="s">
        <v>199</v>
      </c>
      <c r="BI3" s="23" t="s">
        <v>200</v>
      </c>
      <c r="BJ3" s="23" t="s">
        <v>201</v>
      </c>
      <c r="BK3" s="23" t="s">
        <v>202</v>
      </c>
      <c r="BL3" s="23" t="s">
        <v>203</v>
      </c>
      <c r="BM3" s="23" t="s">
        <v>204</v>
      </c>
      <c r="BN3" s="23" t="s">
        <v>205</v>
      </c>
      <c r="BO3" s="24" t="s">
        <v>45</v>
      </c>
      <c r="BP3" s="24" t="s">
        <v>46</v>
      </c>
      <c r="BQ3" s="24" t="s">
        <v>47</v>
      </c>
      <c r="BR3" s="24" t="s">
        <v>48</v>
      </c>
      <c r="BS3" s="24" t="s">
        <v>49</v>
      </c>
      <c r="BT3" s="24" t="s">
        <v>50</v>
      </c>
      <c r="BU3" s="24" t="s">
        <v>117</v>
      </c>
      <c r="BV3" s="24" t="s">
        <v>123</v>
      </c>
      <c r="BW3" s="24" t="s">
        <v>124</v>
      </c>
      <c r="BX3" s="24" t="s">
        <v>125</v>
      </c>
      <c r="BY3" s="24" t="s">
        <v>126</v>
      </c>
      <c r="BZ3" s="24" t="s">
        <v>127</v>
      </c>
      <c r="CA3" s="24" t="s">
        <v>128</v>
      </c>
      <c r="CB3" s="24" t="s">
        <v>129</v>
      </c>
      <c r="CC3" s="24" t="s">
        <v>130</v>
      </c>
      <c r="CD3" s="24" t="s">
        <v>131</v>
      </c>
      <c r="CE3" s="24" t="s">
        <v>132</v>
      </c>
      <c r="CF3" s="24" t="s">
        <v>133</v>
      </c>
      <c r="CG3" s="24" t="s">
        <v>134</v>
      </c>
      <c r="CH3" s="24" t="s">
        <v>135</v>
      </c>
      <c r="CI3" s="24" t="s">
        <v>136</v>
      </c>
      <c r="CJ3" s="24" t="s">
        <v>137</v>
      </c>
      <c r="CK3" s="24" t="s">
        <v>138</v>
      </c>
      <c r="CL3" s="24" t="s">
        <v>139</v>
      </c>
      <c r="CM3" s="24" t="s">
        <v>140</v>
      </c>
      <c r="CN3" s="24" t="s">
        <v>141</v>
      </c>
      <c r="CO3" s="24" t="s">
        <v>142</v>
      </c>
      <c r="CP3" s="24" t="s">
        <v>143</v>
      </c>
      <c r="CQ3" s="24" t="s">
        <v>144</v>
      </c>
      <c r="CR3" s="24" t="s">
        <v>145</v>
      </c>
      <c r="CS3" s="24" t="s">
        <v>146</v>
      </c>
      <c r="CT3" s="24" t="s">
        <v>119</v>
      </c>
      <c r="CU3" s="24" t="s">
        <v>120</v>
      </c>
      <c r="CV3" s="24" t="s">
        <v>121</v>
      </c>
      <c r="CW3" s="24" t="s">
        <v>122</v>
      </c>
      <c r="CX3" s="24" t="s">
        <v>147</v>
      </c>
      <c r="CY3" s="24" t="s">
        <v>148</v>
      </c>
      <c r="CZ3" s="24" t="s">
        <v>149</v>
      </c>
      <c r="DA3" s="24" t="s">
        <v>150</v>
      </c>
      <c r="DB3" s="24" t="s">
        <v>151</v>
      </c>
      <c r="DC3" s="24" t="s">
        <v>152</v>
      </c>
      <c r="DD3" s="24" t="s">
        <v>153</v>
      </c>
      <c r="DE3" s="24" t="s">
        <v>154</v>
      </c>
      <c r="DF3" s="24" t="s">
        <v>155</v>
      </c>
      <c r="DG3" s="24" t="s">
        <v>156</v>
      </c>
      <c r="DH3" s="24" t="s">
        <v>157</v>
      </c>
      <c r="DI3" s="24" t="s">
        <v>158</v>
      </c>
      <c r="DJ3" s="24" t="s">
        <v>159</v>
      </c>
      <c r="DK3" s="24" t="s">
        <v>160</v>
      </c>
      <c r="DL3" s="24" t="s">
        <v>161</v>
      </c>
      <c r="DM3" s="26" t="s">
        <v>62</v>
      </c>
      <c r="DN3" s="26" t="s">
        <v>63</v>
      </c>
      <c r="DO3" s="26" t="s">
        <v>64</v>
      </c>
      <c r="DP3" s="26" t="s">
        <v>65</v>
      </c>
      <c r="DQ3" s="26" t="s">
        <v>66</v>
      </c>
      <c r="DR3" s="26" t="s">
        <v>67</v>
      </c>
      <c r="DS3" s="26" t="s">
        <v>206</v>
      </c>
      <c r="DT3" s="26" t="s">
        <v>207</v>
      </c>
      <c r="DU3" s="26" t="s">
        <v>208</v>
      </c>
      <c r="DV3" s="26" t="s">
        <v>209</v>
      </c>
      <c r="DW3" s="26" t="s">
        <v>210</v>
      </c>
      <c r="DX3" s="26" t="s">
        <v>211</v>
      </c>
      <c r="DY3" s="26" t="s">
        <v>212</v>
      </c>
      <c r="DZ3" s="26" t="s">
        <v>213</v>
      </c>
      <c r="EA3" s="26" t="s">
        <v>214</v>
      </c>
      <c r="EB3" s="26" t="s">
        <v>215</v>
      </c>
      <c r="EC3" s="26" t="s">
        <v>216</v>
      </c>
      <c r="ED3" s="26" t="s">
        <v>217</v>
      </c>
      <c r="EE3" s="26" t="s">
        <v>218</v>
      </c>
      <c r="EF3" s="26" t="s">
        <v>219</v>
      </c>
      <c r="EG3" s="26" t="s">
        <v>220</v>
      </c>
      <c r="EH3" s="26" t="s">
        <v>221</v>
      </c>
      <c r="EI3" s="26" t="s">
        <v>222</v>
      </c>
      <c r="EJ3" s="26" t="s">
        <v>223</v>
      </c>
      <c r="EK3" s="26" t="s">
        <v>224</v>
      </c>
      <c r="EL3" s="26" t="s">
        <v>225</v>
      </c>
      <c r="EM3" s="26" t="s">
        <v>226</v>
      </c>
      <c r="EN3" s="26" t="s">
        <v>227</v>
      </c>
      <c r="EO3" s="26" t="s">
        <v>228</v>
      </c>
      <c r="EP3" s="26" t="s">
        <v>229</v>
      </c>
      <c r="EQ3" s="26" t="s">
        <v>230</v>
      </c>
      <c r="ER3" s="26" t="s">
        <v>231</v>
      </c>
      <c r="ES3" s="26" t="s">
        <v>232</v>
      </c>
      <c r="ET3" s="26" t="s">
        <v>233</v>
      </c>
      <c r="EU3" s="26" t="s">
        <v>234</v>
      </c>
      <c r="EV3" s="26" t="s">
        <v>235</v>
      </c>
      <c r="EW3" s="26" t="s">
        <v>236</v>
      </c>
      <c r="EX3" s="26" t="s">
        <v>237</v>
      </c>
      <c r="EY3" s="26" t="s">
        <v>238</v>
      </c>
      <c r="EZ3" s="26" t="s">
        <v>239</v>
      </c>
      <c r="FA3" s="26" t="s">
        <v>240</v>
      </c>
      <c r="FB3" s="26" t="s">
        <v>241</v>
      </c>
      <c r="FC3" s="26" t="s">
        <v>242</v>
      </c>
      <c r="FD3" s="26" t="s">
        <v>243</v>
      </c>
      <c r="FE3" s="26" t="s">
        <v>244</v>
      </c>
      <c r="FF3" s="26" t="s">
        <v>245</v>
      </c>
      <c r="FG3" s="26" t="s">
        <v>246</v>
      </c>
      <c r="FH3" s="26" t="s">
        <v>247</v>
      </c>
      <c r="FI3" s="26" t="s">
        <v>248</v>
      </c>
      <c r="FJ3" s="26" t="s">
        <v>249</v>
      </c>
      <c r="FK3" s="27" t="s">
        <v>68</v>
      </c>
      <c r="FL3" s="27" t="s">
        <v>69</v>
      </c>
      <c r="FM3" s="27" t="s">
        <v>70</v>
      </c>
      <c r="FN3" s="27" t="s">
        <v>71</v>
      </c>
      <c r="FO3" s="27" t="s">
        <v>72</v>
      </c>
      <c r="FP3" s="27" t="s">
        <v>73</v>
      </c>
      <c r="FQ3" s="27" t="s">
        <v>118</v>
      </c>
      <c r="FR3" s="27" t="s">
        <v>250</v>
      </c>
      <c r="FS3" s="27" t="s">
        <v>251</v>
      </c>
      <c r="FT3" s="27" t="s">
        <v>252</v>
      </c>
      <c r="FU3" s="27" t="s">
        <v>253</v>
      </c>
      <c r="FV3" s="27" t="s">
        <v>254</v>
      </c>
      <c r="FW3" s="27" t="s">
        <v>255</v>
      </c>
      <c r="FX3" s="27" t="s">
        <v>256</v>
      </c>
      <c r="FY3" s="27" t="s">
        <v>257</v>
      </c>
      <c r="FZ3" s="27" t="s">
        <v>258</v>
      </c>
      <c r="GA3" s="27" t="s">
        <v>259</v>
      </c>
      <c r="GB3" s="27" t="s">
        <v>260</v>
      </c>
      <c r="GC3" s="27" t="s">
        <v>261</v>
      </c>
      <c r="GD3" s="27" t="s">
        <v>262</v>
      </c>
      <c r="GE3" s="27" t="s">
        <v>263</v>
      </c>
      <c r="GF3" s="27" t="s">
        <v>264</v>
      </c>
      <c r="GG3" s="27" t="s">
        <v>265</v>
      </c>
      <c r="GH3" s="27" t="s">
        <v>266</v>
      </c>
      <c r="GI3" s="27" t="s">
        <v>267</v>
      </c>
      <c r="GJ3" s="27" t="s">
        <v>268</v>
      </c>
      <c r="GK3" s="27" t="s">
        <v>269</v>
      </c>
      <c r="GL3" s="27" t="s">
        <v>270</v>
      </c>
      <c r="GM3" s="27" t="s">
        <v>271</v>
      </c>
      <c r="GN3" s="27" t="s">
        <v>272</v>
      </c>
      <c r="GO3" s="27" t="s">
        <v>273</v>
      </c>
      <c r="GP3" s="27" t="s">
        <v>274</v>
      </c>
      <c r="GQ3" s="27" t="s">
        <v>275</v>
      </c>
      <c r="GR3" s="27" t="s">
        <v>276</v>
      </c>
      <c r="GS3" s="27" t="s">
        <v>277</v>
      </c>
      <c r="GT3" s="27" t="s">
        <v>278</v>
      </c>
      <c r="GU3" s="27" t="s">
        <v>279</v>
      </c>
      <c r="GV3" s="27" t="s">
        <v>280</v>
      </c>
      <c r="GW3" s="27" t="s">
        <v>281</v>
      </c>
      <c r="GX3" s="27" t="s">
        <v>282</v>
      </c>
      <c r="GY3" s="27" t="s">
        <v>283</v>
      </c>
      <c r="GZ3" s="27" t="s">
        <v>284</v>
      </c>
      <c r="HA3" s="27" t="s">
        <v>285</v>
      </c>
      <c r="HB3" s="27" t="s">
        <v>286</v>
      </c>
      <c r="HC3" s="27" t="s">
        <v>287</v>
      </c>
      <c r="HD3" s="27" t="s">
        <v>288</v>
      </c>
      <c r="HE3" s="27" t="s">
        <v>289</v>
      </c>
      <c r="HF3" s="27" t="s">
        <v>290</v>
      </c>
      <c r="HG3" s="27" t="s">
        <v>291</v>
      </c>
      <c r="HH3" s="27" t="s">
        <v>292</v>
      </c>
      <c r="HI3" s="75" t="s">
        <v>307</v>
      </c>
    </row>
    <row r="4" spans="1:218" x14ac:dyDescent="0.25">
      <c r="A4" s="22" t="s">
        <v>61</v>
      </c>
      <c r="B4" s="22" t="s">
        <v>61</v>
      </c>
      <c r="C4" s="22" t="s">
        <v>59</v>
      </c>
      <c r="D4" s="22" t="s">
        <v>60</v>
      </c>
      <c r="E4" s="22">
        <v>1</v>
      </c>
      <c r="F4" s="22">
        <v>0</v>
      </c>
      <c r="G4" s="22">
        <v>1</v>
      </c>
      <c r="H4" s="22">
        <v>0</v>
      </c>
      <c r="I4" s="22">
        <v>1</v>
      </c>
      <c r="J4" s="22">
        <v>0</v>
      </c>
      <c r="K4" s="17">
        <f>SUM(Table167[[#This Row],[Challenge 1]:[Challenge 50]])</f>
        <v>1</v>
      </c>
      <c r="L4" s="88">
        <f>SUM(Table167[[#This Row],[Club 1]:[Club 50]])</f>
        <v>0</v>
      </c>
      <c r="M4" s="88">
        <f>SUM(Table167[[#This Row],[Intra-school sports 1]:[Intra-school sports 50]])</f>
        <v>0</v>
      </c>
      <c r="N4" s="88">
        <f>SUM(Table167[[#This Row],[Inter School sports 1]:[Inter School sports 50]])</f>
        <v>0</v>
      </c>
      <c r="O4" s="17">
        <f>COUNTIF(Table167[[#This Row],[Community club (type name of club(s). All clubs will count as ''1'']],"*")</f>
        <v>0</v>
      </c>
      <c r="P4" s="17">
        <f>IF(OR(Table167[[#This Row],[Total Challenges]]&gt;0,Table167[[#This Row],[Total Ex-C Clubs]]&gt;0,Table167[[#This Row],[Total Intra-School Sports]]&gt;0,Table167[[#This Row],[Total Inter-School Sports]]&gt;0,Table167[[#This Row],[Community Clubs]]&gt;0),1,0)</f>
        <v>1</v>
      </c>
      <c r="Q4" s="22">
        <v>0</v>
      </c>
      <c r="R4" s="22">
        <v>1</v>
      </c>
      <c r="S4" s="22">
        <v>0</v>
      </c>
      <c r="T4" s="22">
        <v>0</v>
      </c>
      <c r="U4" s="22">
        <v>0</v>
      </c>
      <c r="V4" s="22">
        <v>0</v>
      </c>
      <c r="W4" s="22">
        <v>0</v>
      </c>
      <c r="X4" s="22">
        <v>0</v>
      </c>
      <c r="Y4" s="22">
        <v>0</v>
      </c>
      <c r="Z4" s="22">
        <v>0</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18">
        <v>0</v>
      </c>
      <c r="BP4" s="18">
        <v>0</v>
      </c>
      <c r="BQ4" s="18">
        <v>0</v>
      </c>
      <c r="BR4" s="18">
        <v>0</v>
      </c>
      <c r="BS4" s="18">
        <v>0</v>
      </c>
      <c r="BT4" s="18">
        <v>0</v>
      </c>
      <c r="BU4" s="18">
        <v>0</v>
      </c>
      <c r="BV4" s="18">
        <v>0</v>
      </c>
      <c r="BW4" s="18">
        <v>0</v>
      </c>
      <c r="BX4" s="18">
        <v>0</v>
      </c>
      <c r="BY4" s="18">
        <v>0</v>
      </c>
      <c r="BZ4" s="18">
        <v>0</v>
      </c>
      <c r="CA4" s="18">
        <v>0</v>
      </c>
      <c r="CB4" s="18">
        <v>0</v>
      </c>
      <c r="CC4" s="18">
        <v>0</v>
      </c>
      <c r="CD4" s="18">
        <v>0</v>
      </c>
      <c r="CE4" s="18">
        <v>0</v>
      </c>
      <c r="CF4" s="18">
        <v>0</v>
      </c>
      <c r="CG4" s="18">
        <v>0</v>
      </c>
      <c r="CH4" s="18">
        <v>0</v>
      </c>
      <c r="CI4" s="18">
        <v>0</v>
      </c>
      <c r="CJ4" s="18">
        <v>0</v>
      </c>
      <c r="CK4" s="18">
        <v>0</v>
      </c>
      <c r="CL4" s="18">
        <v>0</v>
      </c>
      <c r="CM4" s="18">
        <v>0</v>
      </c>
      <c r="CN4" s="18">
        <v>0</v>
      </c>
      <c r="CO4" s="18">
        <v>0</v>
      </c>
      <c r="CP4" s="18">
        <v>0</v>
      </c>
      <c r="CQ4" s="18">
        <v>0</v>
      </c>
      <c r="CR4" s="18">
        <v>0</v>
      </c>
      <c r="CS4" s="18">
        <v>0</v>
      </c>
      <c r="CT4" s="18">
        <v>0</v>
      </c>
      <c r="CU4" s="18">
        <v>0</v>
      </c>
      <c r="CV4" s="18">
        <v>0</v>
      </c>
      <c r="CW4" s="18">
        <v>0</v>
      </c>
      <c r="CX4" s="18">
        <v>0</v>
      </c>
      <c r="CY4" s="18">
        <v>0</v>
      </c>
      <c r="CZ4" s="18">
        <v>0</v>
      </c>
      <c r="DA4" s="18">
        <v>0</v>
      </c>
      <c r="DB4" s="18">
        <v>0</v>
      </c>
      <c r="DC4" s="18">
        <v>0</v>
      </c>
      <c r="DD4" s="18">
        <v>0</v>
      </c>
      <c r="DE4" s="18">
        <v>0</v>
      </c>
      <c r="DF4" s="18">
        <v>0</v>
      </c>
      <c r="DG4" s="18">
        <v>0</v>
      </c>
      <c r="DH4" s="18">
        <v>0</v>
      </c>
      <c r="DI4" s="18">
        <v>0</v>
      </c>
      <c r="DJ4" s="18">
        <v>0</v>
      </c>
      <c r="DK4" s="18">
        <v>0</v>
      </c>
      <c r="DL4" s="18">
        <v>0</v>
      </c>
      <c r="DM4" s="18">
        <v>0</v>
      </c>
      <c r="DN4" s="18">
        <v>0</v>
      </c>
      <c r="DO4" s="18">
        <v>0</v>
      </c>
      <c r="DP4" s="18">
        <v>0</v>
      </c>
      <c r="DQ4" s="18">
        <v>0</v>
      </c>
      <c r="DR4" s="18">
        <v>0</v>
      </c>
      <c r="DS4" s="18">
        <v>0</v>
      </c>
      <c r="DT4" s="18">
        <v>0</v>
      </c>
      <c r="DU4" s="18">
        <v>0</v>
      </c>
      <c r="DV4" s="18">
        <v>0</v>
      </c>
      <c r="DW4" s="18">
        <v>0</v>
      </c>
      <c r="DX4" s="18">
        <v>0</v>
      </c>
      <c r="DY4" s="18">
        <v>0</v>
      </c>
      <c r="DZ4" s="18">
        <v>0</v>
      </c>
      <c r="EA4" s="18">
        <v>0</v>
      </c>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v>0</v>
      </c>
      <c r="FL4" s="18">
        <v>0</v>
      </c>
      <c r="FM4" s="18">
        <v>0</v>
      </c>
      <c r="FN4" s="18">
        <v>0</v>
      </c>
      <c r="FO4" s="18">
        <v>0</v>
      </c>
      <c r="FP4" s="18">
        <v>0</v>
      </c>
      <c r="FQ4" s="18">
        <v>0</v>
      </c>
      <c r="FR4" s="18">
        <v>0</v>
      </c>
      <c r="FS4" s="18">
        <v>0</v>
      </c>
      <c r="FT4" s="18">
        <v>0</v>
      </c>
      <c r="FU4" s="18">
        <v>0</v>
      </c>
      <c r="FV4" s="18">
        <v>0</v>
      </c>
      <c r="FW4" s="18">
        <v>0</v>
      </c>
      <c r="FX4" s="18">
        <v>0</v>
      </c>
      <c r="FY4" s="18">
        <v>0</v>
      </c>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row>
    <row r="5" spans="1:218" x14ac:dyDescent="0.25">
      <c r="A5" s="22"/>
      <c r="B5" s="22"/>
      <c r="C5" s="22"/>
      <c r="D5" s="22"/>
      <c r="E5" s="22"/>
      <c r="F5" s="22"/>
      <c r="G5" s="22"/>
      <c r="H5" s="22"/>
      <c r="I5" s="22"/>
      <c r="J5" s="22"/>
      <c r="K5" s="17">
        <f>SUM(Table167[[#This Row],[Challenge 1]:[Challenge 50]])</f>
        <v>0</v>
      </c>
      <c r="L5" s="88">
        <f>SUM(Table167[[#This Row],[Club 1]:[Club 50]])</f>
        <v>0</v>
      </c>
      <c r="M5" s="88">
        <f>SUM(Table167[[#This Row],[Intra-school sports 1]:[Intra-school sports 50]])</f>
        <v>0</v>
      </c>
      <c r="N5" s="88">
        <f>SUM(Table167[[#This Row],[Inter School sports 1]:[Inter School sports 50]])</f>
        <v>0</v>
      </c>
      <c r="O5" s="17">
        <f>COUNTIF(Table167[[#This Row],[Community club (type name of club(s). All clubs will count as ''1'']],"*")</f>
        <v>0</v>
      </c>
      <c r="P5" s="17">
        <f>IF(OR(Table167[[#This Row],[Total Challenges]]&gt;0,Table167[[#This Row],[Total Ex-C Clubs]]&gt;0,Table167[[#This Row],[Total Intra-School Sports]]&gt;0,Table167[[#This Row],[Total Inter-School Sports]]&gt;0,Table167[[#This Row],[Community Clubs]]&gt;0),1,0)</f>
        <v>0</v>
      </c>
      <c r="Q5" s="22"/>
      <c r="R5" s="22"/>
      <c r="S5" s="22"/>
      <c r="T5" s="22"/>
      <c r="U5" s="22"/>
      <c r="V5" s="22"/>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row>
    <row r="6" spans="1:218" x14ac:dyDescent="0.25">
      <c r="A6" s="22"/>
      <c r="B6" s="22"/>
      <c r="C6" s="22"/>
      <c r="D6" s="22"/>
      <c r="E6" s="22"/>
      <c r="F6" s="22"/>
      <c r="G6" s="22"/>
      <c r="H6" s="22"/>
      <c r="I6" s="22"/>
      <c r="J6" s="22"/>
      <c r="K6" s="17">
        <f>SUM(Table167[[#This Row],[Challenge 1]:[Challenge 50]])</f>
        <v>0</v>
      </c>
      <c r="L6" s="88">
        <f>SUM(Table167[[#This Row],[Club 1]:[Club 50]])</f>
        <v>0</v>
      </c>
      <c r="M6" s="88">
        <f>SUM(Table167[[#This Row],[Intra-school sports 1]:[Intra-school sports 50]])</f>
        <v>0</v>
      </c>
      <c r="N6" s="88">
        <f>SUM(Table167[[#This Row],[Inter School sports 1]:[Inter School sports 50]])</f>
        <v>0</v>
      </c>
      <c r="O6" s="17">
        <f>COUNTIF(Table167[[#This Row],[Community club (type name of club(s). All clubs will count as ''1'']],"*")</f>
        <v>0</v>
      </c>
      <c r="P6" s="17">
        <f>IF(OR(Table167[[#This Row],[Total Challenges]]&gt;0,Table167[[#This Row],[Total Ex-C Clubs]]&gt;0,Table167[[#This Row],[Total Intra-School Sports]]&gt;0,Table167[[#This Row],[Total Inter-School Sports]]&gt;0,Table167[[#This Row],[Community Clubs]]&gt;0),1,0)</f>
        <v>0</v>
      </c>
      <c r="Q6" s="22"/>
      <c r="R6" s="22"/>
      <c r="S6" s="22"/>
      <c r="T6" s="22"/>
      <c r="U6" s="22"/>
      <c r="V6" s="22"/>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row>
    <row r="7" spans="1:218" x14ac:dyDescent="0.25">
      <c r="A7" s="22"/>
      <c r="B7" s="22"/>
      <c r="C7" s="22"/>
      <c r="D7" s="22"/>
      <c r="E7" s="22"/>
      <c r="F7" s="22"/>
      <c r="G7" s="22"/>
      <c r="H7" s="22"/>
      <c r="I7" s="22"/>
      <c r="J7" s="22"/>
      <c r="K7" s="17">
        <f>SUM(Table167[[#This Row],[Challenge 1]:[Challenge 50]])</f>
        <v>0</v>
      </c>
      <c r="L7" s="88">
        <f>SUM(Table167[[#This Row],[Club 1]:[Club 50]])</f>
        <v>0</v>
      </c>
      <c r="M7" s="88">
        <f>SUM(Table167[[#This Row],[Intra-school sports 1]:[Intra-school sports 50]])</f>
        <v>0</v>
      </c>
      <c r="N7" s="88">
        <f>SUM(Table167[[#This Row],[Inter School sports 1]:[Inter School sports 50]])</f>
        <v>0</v>
      </c>
      <c r="O7" s="17">
        <f>COUNTIF(Table167[[#This Row],[Community club (type name of club(s). All clubs will count as ''1'']],"*")</f>
        <v>0</v>
      </c>
      <c r="P7" s="17">
        <f>IF(OR(Table167[[#This Row],[Total Challenges]]&gt;0,Table167[[#This Row],[Total Ex-C Clubs]]&gt;0,Table167[[#This Row],[Total Intra-School Sports]]&gt;0,Table167[[#This Row],[Total Inter-School Sports]]&gt;0,Table167[[#This Row],[Community Clubs]]&gt;0),1,0)</f>
        <v>0</v>
      </c>
      <c r="Q7" s="22"/>
      <c r="R7" s="22"/>
      <c r="S7" s="22"/>
      <c r="T7" s="22"/>
      <c r="U7" s="22"/>
      <c r="V7" s="22"/>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row>
    <row r="8" spans="1:218" x14ac:dyDescent="0.25">
      <c r="A8" s="22"/>
      <c r="B8" s="22"/>
      <c r="C8" s="22"/>
      <c r="D8" s="22"/>
      <c r="E8" s="22"/>
      <c r="F8" s="22"/>
      <c r="G8" s="22"/>
      <c r="H8" s="22"/>
      <c r="I8" s="22"/>
      <c r="J8" s="22"/>
      <c r="K8" s="17">
        <f>SUM(Table167[[#This Row],[Challenge 1]:[Challenge 50]])</f>
        <v>0</v>
      </c>
      <c r="L8" s="88">
        <f>SUM(Table167[[#This Row],[Club 1]:[Club 50]])</f>
        <v>0</v>
      </c>
      <c r="M8" s="88">
        <f>SUM(Table167[[#This Row],[Intra-school sports 1]:[Intra-school sports 50]])</f>
        <v>0</v>
      </c>
      <c r="N8" s="88">
        <f>SUM(Table167[[#This Row],[Inter School sports 1]:[Inter School sports 50]])</f>
        <v>0</v>
      </c>
      <c r="O8" s="17">
        <f>COUNTIF(Table167[[#This Row],[Community club (type name of club(s). All clubs will count as ''1'']],"*")</f>
        <v>0</v>
      </c>
      <c r="P8" s="17">
        <f>IF(OR(Table167[[#This Row],[Total Challenges]]&gt;0,Table167[[#This Row],[Total Ex-C Clubs]]&gt;0,Table167[[#This Row],[Total Intra-School Sports]]&gt;0,Table167[[#This Row],[Total Inter-School Sports]]&gt;0,Table167[[#This Row],[Community Clubs]]&gt;0),1,0)</f>
        <v>0</v>
      </c>
      <c r="Q8" s="22"/>
      <c r="R8" s="22"/>
      <c r="S8" s="22"/>
      <c r="T8" s="22"/>
      <c r="U8" s="22"/>
      <c r="V8" s="22"/>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21"/>
    </row>
    <row r="9" spans="1:218" x14ac:dyDescent="0.25">
      <c r="A9" s="22"/>
      <c r="B9" s="22"/>
      <c r="C9" s="22"/>
      <c r="D9" s="22"/>
      <c r="E9" s="22"/>
      <c r="F9" s="22"/>
      <c r="G9" s="22"/>
      <c r="H9" s="22"/>
      <c r="I9" s="22"/>
      <c r="J9" s="22"/>
      <c r="K9" s="17">
        <f>SUM(Table167[[#This Row],[Challenge 1]:[Challenge 50]])</f>
        <v>0</v>
      </c>
      <c r="L9" s="88">
        <f>SUM(Table167[[#This Row],[Club 1]:[Club 50]])</f>
        <v>0</v>
      </c>
      <c r="M9" s="88">
        <f>SUM(Table167[[#This Row],[Intra-school sports 1]:[Intra-school sports 50]])</f>
        <v>0</v>
      </c>
      <c r="N9" s="88">
        <f>SUM(Table167[[#This Row],[Inter School sports 1]:[Inter School sports 50]])</f>
        <v>0</v>
      </c>
      <c r="O9" s="17">
        <f>COUNTIF(Table167[[#This Row],[Community club (type name of club(s). All clubs will count as ''1'']],"*")</f>
        <v>0</v>
      </c>
      <c r="P9" s="17">
        <f>IF(OR(Table167[[#This Row],[Total Challenges]]&gt;0,Table167[[#This Row],[Total Ex-C Clubs]]&gt;0,Table167[[#This Row],[Total Intra-School Sports]]&gt;0,Table167[[#This Row],[Total Inter-School Sports]]&gt;0,Table167[[#This Row],[Community Clubs]]&gt;0),1,0)</f>
        <v>0</v>
      </c>
      <c r="Q9" s="22"/>
      <c r="R9" s="22"/>
      <c r="S9" s="22"/>
      <c r="T9" s="22"/>
      <c r="U9" s="22"/>
      <c r="V9" s="22"/>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21"/>
    </row>
    <row r="10" spans="1:218" x14ac:dyDescent="0.25">
      <c r="A10" s="22"/>
      <c r="B10" s="22"/>
      <c r="C10" s="22"/>
      <c r="D10" s="22"/>
      <c r="E10" s="22"/>
      <c r="F10" s="22"/>
      <c r="G10" s="22"/>
      <c r="H10" s="22"/>
      <c r="I10" s="22"/>
      <c r="J10" s="22"/>
      <c r="K10" s="17">
        <f>SUM(Table167[[#This Row],[Challenge 1]:[Challenge 50]])</f>
        <v>0</v>
      </c>
      <c r="L10" s="88">
        <f>SUM(Table167[[#This Row],[Club 1]:[Club 50]])</f>
        <v>0</v>
      </c>
      <c r="M10" s="88">
        <f>SUM(Table167[[#This Row],[Intra-school sports 1]:[Intra-school sports 50]])</f>
        <v>0</v>
      </c>
      <c r="N10" s="88">
        <f>SUM(Table167[[#This Row],[Inter School sports 1]:[Inter School sports 50]])</f>
        <v>0</v>
      </c>
      <c r="O10" s="17">
        <f>COUNTIF(Table167[[#This Row],[Community club (type name of club(s). All clubs will count as ''1'']],"*")</f>
        <v>0</v>
      </c>
      <c r="P10" s="17">
        <f>IF(OR(Table167[[#This Row],[Total Challenges]]&gt;0,Table167[[#This Row],[Total Ex-C Clubs]]&gt;0,Table167[[#This Row],[Total Intra-School Sports]]&gt;0,Table167[[#This Row],[Total Inter-School Sports]]&gt;0,Table167[[#This Row],[Community Clubs]]&gt;0),1,0)</f>
        <v>0</v>
      </c>
      <c r="Q10" s="22"/>
      <c r="R10" s="22"/>
      <c r="S10" s="22"/>
      <c r="T10" s="22"/>
      <c r="U10" s="22"/>
      <c r="V10" s="22"/>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21"/>
    </row>
    <row r="11" spans="1:218" x14ac:dyDescent="0.25">
      <c r="A11" s="22"/>
      <c r="B11" s="22"/>
      <c r="C11" s="22"/>
      <c r="D11" s="22"/>
      <c r="E11" s="22"/>
      <c r="F11" s="22"/>
      <c r="G11" s="22"/>
      <c r="H11" s="22"/>
      <c r="I11" s="22"/>
      <c r="J11" s="22"/>
      <c r="K11" s="17">
        <f>SUM(Table167[[#This Row],[Challenge 1]:[Challenge 50]])</f>
        <v>0</v>
      </c>
      <c r="L11" s="88">
        <f>SUM(Table167[[#This Row],[Club 1]:[Club 50]])</f>
        <v>0</v>
      </c>
      <c r="M11" s="88">
        <f>SUM(Table167[[#This Row],[Intra-school sports 1]:[Intra-school sports 50]])</f>
        <v>0</v>
      </c>
      <c r="N11" s="88">
        <f>SUM(Table167[[#This Row],[Inter School sports 1]:[Inter School sports 50]])</f>
        <v>0</v>
      </c>
      <c r="O11" s="17">
        <f>COUNTIF(Table167[[#This Row],[Community club (type name of club(s). All clubs will count as ''1'']],"*")</f>
        <v>0</v>
      </c>
      <c r="P11" s="17">
        <f>IF(OR(Table167[[#This Row],[Total Challenges]]&gt;0,Table167[[#This Row],[Total Ex-C Clubs]]&gt;0,Table167[[#This Row],[Total Intra-School Sports]]&gt;0,Table167[[#This Row],[Total Inter-School Sports]]&gt;0,Table167[[#This Row],[Community Clubs]]&gt;0),1,0)</f>
        <v>0</v>
      </c>
      <c r="Q11" s="22"/>
      <c r="R11" s="22"/>
      <c r="S11" s="22"/>
      <c r="T11" s="22"/>
      <c r="U11" s="22"/>
      <c r="V11" s="22"/>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21"/>
    </row>
    <row r="12" spans="1:218" x14ac:dyDescent="0.25">
      <c r="A12" s="22"/>
      <c r="B12" s="22"/>
      <c r="C12" s="22"/>
      <c r="D12" s="22"/>
      <c r="E12" s="22"/>
      <c r="F12" s="22"/>
      <c r="G12" s="22"/>
      <c r="H12" s="22"/>
      <c r="I12" s="22"/>
      <c r="J12" s="22"/>
      <c r="K12" s="17">
        <f>SUM(Table167[[#This Row],[Challenge 1]:[Challenge 50]])</f>
        <v>0</v>
      </c>
      <c r="L12" s="88">
        <f>SUM(Table167[[#This Row],[Club 1]:[Club 50]])</f>
        <v>0</v>
      </c>
      <c r="M12" s="88">
        <f>SUM(Table167[[#This Row],[Intra-school sports 1]:[Intra-school sports 50]])</f>
        <v>0</v>
      </c>
      <c r="N12" s="88">
        <f>SUM(Table167[[#This Row],[Inter School sports 1]:[Inter School sports 50]])</f>
        <v>0</v>
      </c>
      <c r="O12" s="17">
        <f>COUNTIF(Table167[[#This Row],[Community club (type name of club(s). All clubs will count as ''1'']],"*")</f>
        <v>0</v>
      </c>
      <c r="P12" s="17">
        <f>IF(OR(Table167[[#This Row],[Total Challenges]]&gt;0,Table167[[#This Row],[Total Ex-C Clubs]]&gt;0,Table167[[#This Row],[Total Intra-School Sports]]&gt;0,Table167[[#This Row],[Total Inter-School Sports]]&gt;0,Table167[[#This Row],[Community Clubs]]&gt;0),1,0)</f>
        <v>0</v>
      </c>
      <c r="Q12" s="22"/>
      <c r="R12" s="22"/>
      <c r="S12" s="22"/>
      <c r="T12" s="22"/>
      <c r="U12" s="22"/>
      <c r="V12" s="22"/>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21"/>
    </row>
    <row r="13" spans="1:218" x14ac:dyDescent="0.25">
      <c r="A13" s="22"/>
      <c r="B13" s="22"/>
      <c r="C13" s="22"/>
      <c r="D13" s="22"/>
      <c r="E13" s="22"/>
      <c r="F13" s="22"/>
      <c r="G13" s="22"/>
      <c r="H13" s="22"/>
      <c r="I13" s="22"/>
      <c r="J13" s="22"/>
      <c r="K13" s="17">
        <f>SUM(Table167[[#This Row],[Challenge 1]:[Challenge 50]])</f>
        <v>0</v>
      </c>
      <c r="L13" s="88">
        <f>SUM(Table167[[#This Row],[Club 1]:[Club 50]])</f>
        <v>0</v>
      </c>
      <c r="M13" s="88">
        <f>SUM(Table167[[#This Row],[Intra-school sports 1]:[Intra-school sports 50]])</f>
        <v>0</v>
      </c>
      <c r="N13" s="88">
        <f>SUM(Table167[[#This Row],[Inter School sports 1]:[Inter School sports 50]])</f>
        <v>0</v>
      </c>
      <c r="O13" s="17">
        <f>COUNTIF(Table167[[#This Row],[Community club (type name of club(s). All clubs will count as ''1'']],"*")</f>
        <v>0</v>
      </c>
      <c r="P13" s="17">
        <f>IF(OR(Table167[[#This Row],[Total Challenges]]&gt;0,Table167[[#This Row],[Total Ex-C Clubs]]&gt;0,Table167[[#This Row],[Total Intra-School Sports]]&gt;0,Table167[[#This Row],[Total Inter-School Sports]]&gt;0,Table167[[#This Row],[Community Clubs]]&gt;0),1,0)</f>
        <v>0</v>
      </c>
      <c r="Q13" s="22"/>
      <c r="R13" s="22"/>
      <c r="S13" s="22"/>
      <c r="T13" s="22"/>
      <c r="U13" s="22"/>
      <c r="V13" s="22"/>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21"/>
    </row>
    <row r="14" spans="1:218" x14ac:dyDescent="0.25">
      <c r="A14" s="22"/>
      <c r="B14" s="22"/>
      <c r="C14" s="22"/>
      <c r="D14" s="22"/>
      <c r="E14" s="22"/>
      <c r="F14" s="22"/>
      <c r="G14" s="22"/>
      <c r="H14" s="22"/>
      <c r="I14" s="22"/>
      <c r="J14" s="22"/>
      <c r="K14" s="17">
        <f>SUM(Table167[[#This Row],[Challenge 1]:[Challenge 50]])</f>
        <v>0</v>
      </c>
      <c r="L14" s="88">
        <f>SUM(Table167[[#This Row],[Club 1]:[Club 50]])</f>
        <v>0</v>
      </c>
      <c r="M14" s="88">
        <f>SUM(Table167[[#This Row],[Intra-school sports 1]:[Intra-school sports 50]])</f>
        <v>0</v>
      </c>
      <c r="N14" s="88">
        <f>SUM(Table167[[#This Row],[Inter School sports 1]:[Inter School sports 50]])</f>
        <v>0</v>
      </c>
      <c r="O14" s="17">
        <f>COUNTIF(Table167[[#This Row],[Community club (type name of club(s). All clubs will count as ''1'']],"*")</f>
        <v>0</v>
      </c>
      <c r="P14" s="17">
        <f>IF(OR(Table167[[#This Row],[Total Challenges]]&gt;0,Table167[[#This Row],[Total Ex-C Clubs]]&gt;0,Table167[[#This Row],[Total Intra-School Sports]]&gt;0,Table167[[#This Row],[Total Inter-School Sports]]&gt;0,Table167[[#This Row],[Community Clubs]]&gt;0),1,0)</f>
        <v>0</v>
      </c>
      <c r="Q14" s="22"/>
      <c r="R14" s="22"/>
      <c r="S14" s="22"/>
      <c r="T14" s="22"/>
      <c r="U14" s="22"/>
      <c r="V14" s="22"/>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21"/>
    </row>
    <row r="15" spans="1:218" x14ac:dyDescent="0.25">
      <c r="A15" s="22"/>
      <c r="B15" s="22"/>
      <c r="C15" s="22"/>
      <c r="D15" s="22"/>
      <c r="E15" s="22"/>
      <c r="F15" s="22"/>
      <c r="G15" s="22"/>
      <c r="H15" s="22"/>
      <c r="I15" s="22"/>
      <c r="J15" s="22"/>
      <c r="K15" s="17">
        <f>SUM(Table167[[#This Row],[Challenge 1]:[Challenge 50]])</f>
        <v>0</v>
      </c>
      <c r="L15" s="88">
        <f>SUM(Table167[[#This Row],[Club 1]:[Club 50]])</f>
        <v>0</v>
      </c>
      <c r="M15" s="88">
        <f>SUM(Table167[[#This Row],[Intra-school sports 1]:[Intra-school sports 50]])</f>
        <v>0</v>
      </c>
      <c r="N15" s="88">
        <f>SUM(Table167[[#This Row],[Inter School sports 1]:[Inter School sports 50]])</f>
        <v>0</v>
      </c>
      <c r="O15" s="17">
        <f>COUNTIF(Table167[[#This Row],[Community club (type name of club(s). All clubs will count as ''1'']],"*")</f>
        <v>0</v>
      </c>
      <c r="P15" s="17">
        <f>IF(OR(Table167[[#This Row],[Total Challenges]]&gt;0,Table167[[#This Row],[Total Ex-C Clubs]]&gt;0,Table167[[#This Row],[Total Intra-School Sports]]&gt;0,Table167[[#This Row],[Total Inter-School Sports]]&gt;0,Table167[[#This Row],[Community Clubs]]&gt;0),1,0)</f>
        <v>0</v>
      </c>
      <c r="Q15" s="22"/>
      <c r="R15" s="22"/>
      <c r="S15" s="22"/>
      <c r="T15" s="22"/>
      <c r="U15" s="22"/>
      <c r="V15" s="22"/>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21"/>
    </row>
    <row r="16" spans="1:218" x14ac:dyDescent="0.25">
      <c r="A16" s="22"/>
      <c r="B16" s="22"/>
      <c r="C16" s="22"/>
      <c r="D16" s="22"/>
      <c r="E16" s="22"/>
      <c r="F16" s="22"/>
      <c r="G16" s="22"/>
      <c r="H16" s="22"/>
      <c r="I16" s="22"/>
      <c r="J16" s="22"/>
      <c r="K16" s="17">
        <f>SUM(Table167[[#This Row],[Challenge 1]:[Challenge 50]])</f>
        <v>0</v>
      </c>
      <c r="L16" s="88">
        <f>SUM(Table167[[#This Row],[Club 1]:[Club 50]])</f>
        <v>0</v>
      </c>
      <c r="M16" s="88">
        <f>SUM(Table167[[#This Row],[Intra-school sports 1]:[Intra-school sports 50]])</f>
        <v>0</v>
      </c>
      <c r="N16" s="88">
        <f>SUM(Table167[[#This Row],[Inter School sports 1]:[Inter School sports 50]])</f>
        <v>0</v>
      </c>
      <c r="O16" s="17">
        <f>COUNTIF(Table167[[#This Row],[Community club (type name of club(s). All clubs will count as ''1'']],"*")</f>
        <v>0</v>
      </c>
      <c r="P16" s="17">
        <f>IF(OR(Table167[[#This Row],[Total Challenges]]&gt;0,Table167[[#This Row],[Total Ex-C Clubs]]&gt;0,Table167[[#This Row],[Total Intra-School Sports]]&gt;0,Table167[[#This Row],[Total Inter-School Sports]]&gt;0,Table167[[#This Row],[Community Clubs]]&gt;0),1,0)</f>
        <v>0</v>
      </c>
      <c r="Q16" s="22"/>
      <c r="R16" s="22"/>
      <c r="S16" s="22"/>
      <c r="T16" s="22"/>
      <c r="U16" s="22"/>
      <c r="V16" s="22"/>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21"/>
    </row>
    <row r="17" spans="1:218" x14ac:dyDescent="0.25">
      <c r="A17" s="22"/>
      <c r="B17" s="22"/>
      <c r="C17" s="22"/>
      <c r="D17" s="22"/>
      <c r="E17" s="22"/>
      <c r="F17" s="22"/>
      <c r="G17" s="22"/>
      <c r="H17" s="22"/>
      <c r="I17" s="22"/>
      <c r="J17" s="22"/>
      <c r="K17" s="17">
        <f>SUM(Table167[[#This Row],[Challenge 1]:[Challenge 50]])</f>
        <v>0</v>
      </c>
      <c r="L17" s="88">
        <f>SUM(Table167[[#This Row],[Club 1]:[Club 50]])</f>
        <v>0</v>
      </c>
      <c r="M17" s="88">
        <f>SUM(Table167[[#This Row],[Intra-school sports 1]:[Intra-school sports 50]])</f>
        <v>0</v>
      </c>
      <c r="N17" s="88">
        <f>SUM(Table167[[#This Row],[Inter School sports 1]:[Inter School sports 50]])</f>
        <v>0</v>
      </c>
      <c r="O17" s="17">
        <f>COUNTIF(Table167[[#This Row],[Community club (type name of club(s). All clubs will count as ''1'']],"*")</f>
        <v>0</v>
      </c>
      <c r="P17" s="17">
        <f>IF(OR(Table167[[#This Row],[Total Challenges]]&gt;0,Table167[[#This Row],[Total Ex-C Clubs]]&gt;0,Table167[[#This Row],[Total Intra-School Sports]]&gt;0,Table167[[#This Row],[Total Inter-School Sports]]&gt;0,Table167[[#This Row],[Community Clubs]]&gt;0),1,0)</f>
        <v>0</v>
      </c>
      <c r="Q17" s="22"/>
      <c r="R17" s="22"/>
      <c r="S17" s="22"/>
      <c r="T17" s="22"/>
      <c r="U17" s="22"/>
      <c r="V17" s="22"/>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21"/>
    </row>
    <row r="18" spans="1:218" x14ac:dyDescent="0.25">
      <c r="A18" s="22"/>
      <c r="B18" s="22"/>
      <c r="C18" s="22"/>
      <c r="D18" s="22"/>
      <c r="E18" s="22"/>
      <c r="F18" s="22"/>
      <c r="G18" s="22"/>
      <c r="H18" s="22"/>
      <c r="I18" s="22"/>
      <c r="J18" s="22"/>
      <c r="K18" s="17">
        <f>SUM(Table167[[#This Row],[Challenge 1]:[Challenge 50]])</f>
        <v>0</v>
      </c>
      <c r="L18" s="88">
        <f>SUM(Table167[[#This Row],[Club 1]:[Club 50]])</f>
        <v>0</v>
      </c>
      <c r="M18" s="88">
        <f>SUM(Table167[[#This Row],[Intra-school sports 1]:[Intra-school sports 50]])</f>
        <v>0</v>
      </c>
      <c r="N18" s="88">
        <f>SUM(Table167[[#This Row],[Inter School sports 1]:[Inter School sports 50]])</f>
        <v>0</v>
      </c>
      <c r="O18" s="17">
        <f>COUNTIF(Table167[[#This Row],[Community club (type name of club(s). All clubs will count as ''1'']],"*")</f>
        <v>0</v>
      </c>
      <c r="P18" s="17">
        <f>IF(OR(Table167[[#This Row],[Total Challenges]]&gt;0,Table167[[#This Row],[Total Ex-C Clubs]]&gt;0,Table167[[#This Row],[Total Intra-School Sports]]&gt;0,Table167[[#This Row],[Total Inter-School Sports]]&gt;0,Table167[[#This Row],[Community Clubs]]&gt;0),1,0)</f>
        <v>0</v>
      </c>
      <c r="Q18" s="22"/>
      <c r="R18" s="22"/>
      <c r="S18" s="22"/>
      <c r="T18" s="22"/>
      <c r="U18" s="22"/>
      <c r="V18" s="22"/>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21"/>
    </row>
    <row r="19" spans="1:218" x14ac:dyDescent="0.25">
      <c r="A19" s="22"/>
      <c r="B19" s="22"/>
      <c r="C19" s="22"/>
      <c r="D19" s="22"/>
      <c r="E19" s="22"/>
      <c r="F19" s="22"/>
      <c r="G19" s="22"/>
      <c r="H19" s="22"/>
      <c r="I19" s="22"/>
      <c r="J19" s="22"/>
      <c r="K19" s="17">
        <f>SUM(Table167[[#This Row],[Challenge 1]:[Challenge 50]])</f>
        <v>0</v>
      </c>
      <c r="L19" s="88">
        <f>SUM(Table167[[#This Row],[Club 1]:[Club 50]])</f>
        <v>0</v>
      </c>
      <c r="M19" s="88">
        <f>SUM(Table167[[#This Row],[Intra-school sports 1]:[Intra-school sports 50]])</f>
        <v>0</v>
      </c>
      <c r="N19" s="88">
        <f>SUM(Table167[[#This Row],[Inter School sports 1]:[Inter School sports 50]])</f>
        <v>0</v>
      </c>
      <c r="O19" s="17">
        <f>COUNTIF(Table167[[#This Row],[Community club (type name of club(s). All clubs will count as ''1'']],"*")</f>
        <v>0</v>
      </c>
      <c r="P19" s="17">
        <f>IF(OR(Table167[[#This Row],[Total Challenges]]&gt;0,Table167[[#This Row],[Total Ex-C Clubs]]&gt;0,Table167[[#This Row],[Total Intra-School Sports]]&gt;0,Table167[[#This Row],[Total Inter-School Sports]]&gt;0,Table167[[#This Row],[Community Clubs]]&gt;0),1,0)</f>
        <v>0</v>
      </c>
      <c r="Q19" s="22"/>
      <c r="R19" s="22"/>
      <c r="S19" s="22"/>
      <c r="T19" s="22"/>
      <c r="U19" s="22"/>
      <c r="V19" s="22"/>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21"/>
    </row>
    <row r="20" spans="1:218" x14ac:dyDescent="0.25">
      <c r="A20" s="22"/>
      <c r="B20" s="22"/>
      <c r="C20" s="22"/>
      <c r="D20" s="22"/>
      <c r="E20" s="22"/>
      <c r="F20" s="22"/>
      <c r="G20" s="22"/>
      <c r="H20" s="22"/>
      <c r="I20" s="22"/>
      <c r="J20" s="22"/>
      <c r="K20" s="17">
        <f>SUM(Table167[[#This Row],[Challenge 1]:[Challenge 50]])</f>
        <v>0</v>
      </c>
      <c r="L20" s="88">
        <f>SUM(Table167[[#This Row],[Club 1]:[Club 50]])</f>
        <v>0</v>
      </c>
      <c r="M20" s="88">
        <f>SUM(Table167[[#This Row],[Intra-school sports 1]:[Intra-school sports 50]])</f>
        <v>0</v>
      </c>
      <c r="N20" s="88">
        <f>SUM(Table167[[#This Row],[Inter School sports 1]:[Inter School sports 50]])</f>
        <v>0</v>
      </c>
      <c r="O20" s="17">
        <f>COUNTIF(Table167[[#This Row],[Community club (type name of club(s). All clubs will count as ''1'']],"*")</f>
        <v>0</v>
      </c>
      <c r="P20" s="17">
        <f>IF(OR(Table167[[#This Row],[Total Challenges]]&gt;0,Table167[[#This Row],[Total Ex-C Clubs]]&gt;0,Table167[[#This Row],[Total Intra-School Sports]]&gt;0,Table167[[#This Row],[Total Inter-School Sports]]&gt;0,Table167[[#This Row],[Community Clubs]]&gt;0),1,0)</f>
        <v>0</v>
      </c>
      <c r="Q20" s="22"/>
      <c r="R20" s="22"/>
      <c r="S20" s="22"/>
      <c r="T20" s="22"/>
      <c r="U20" s="22"/>
      <c r="V20" s="22"/>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21"/>
    </row>
    <row r="21" spans="1:218" x14ac:dyDescent="0.25">
      <c r="A21" s="22"/>
      <c r="B21" s="22"/>
      <c r="C21" s="22"/>
      <c r="D21" s="22"/>
      <c r="E21" s="22"/>
      <c r="F21" s="22"/>
      <c r="G21" s="22"/>
      <c r="H21" s="22"/>
      <c r="I21" s="22"/>
      <c r="J21" s="22"/>
      <c r="K21" s="17">
        <f>SUM(Table167[[#This Row],[Challenge 1]:[Challenge 50]])</f>
        <v>0</v>
      </c>
      <c r="L21" s="88">
        <f>SUM(Table167[[#This Row],[Club 1]:[Club 50]])</f>
        <v>0</v>
      </c>
      <c r="M21" s="88">
        <f>SUM(Table167[[#This Row],[Intra-school sports 1]:[Intra-school sports 50]])</f>
        <v>0</v>
      </c>
      <c r="N21" s="88">
        <f>SUM(Table167[[#This Row],[Inter School sports 1]:[Inter School sports 50]])</f>
        <v>0</v>
      </c>
      <c r="O21" s="17">
        <f>COUNTIF(Table167[[#This Row],[Community club (type name of club(s). All clubs will count as ''1'']],"*")</f>
        <v>0</v>
      </c>
      <c r="P21" s="17">
        <f>IF(OR(Table167[[#This Row],[Total Challenges]]&gt;0,Table167[[#This Row],[Total Ex-C Clubs]]&gt;0,Table167[[#This Row],[Total Intra-School Sports]]&gt;0,Table167[[#This Row],[Total Inter-School Sports]]&gt;0,Table167[[#This Row],[Community Clubs]]&gt;0),1,0)</f>
        <v>0</v>
      </c>
      <c r="Q21" s="22"/>
      <c r="R21" s="22"/>
      <c r="S21" s="22"/>
      <c r="T21" s="22"/>
      <c r="U21" s="22"/>
      <c r="V21" s="22"/>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21"/>
    </row>
    <row r="22" spans="1:218" x14ac:dyDescent="0.25">
      <c r="A22" s="22"/>
      <c r="B22" s="22"/>
      <c r="C22" s="22"/>
      <c r="D22" s="22"/>
      <c r="E22" s="22"/>
      <c r="F22" s="22"/>
      <c r="G22" s="22"/>
      <c r="H22" s="22"/>
      <c r="I22" s="22"/>
      <c r="J22" s="22"/>
      <c r="K22" s="17">
        <f>SUM(Table167[[#This Row],[Challenge 1]:[Challenge 50]])</f>
        <v>0</v>
      </c>
      <c r="L22" s="88">
        <f>SUM(Table167[[#This Row],[Club 1]:[Club 50]])</f>
        <v>0</v>
      </c>
      <c r="M22" s="88">
        <f>SUM(Table167[[#This Row],[Intra-school sports 1]:[Intra-school sports 50]])</f>
        <v>0</v>
      </c>
      <c r="N22" s="88">
        <f>SUM(Table167[[#This Row],[Inter School sports 1]:[Inter School sports 50]])</f>
        <v>0</v>
      </c>
      <c r="O22" s="17">
        <f>COUNTIF(Table167[[#This Row],[Community club (type name of club(s). All clubs will count as ''1'']],"*")</f>
        <v>0</v>
      </c>
      <c r="P22" s="17">
        <f>IF(OR(Table167[[#This Row],[Total Challenges]]&gt;0,Table167[[#This Row],[Total Ex-C Clubs]]&gt;0,Table167[[#This Row],[Total Intra-School Sports]]&gt;0,Table167[[#This Row],[Total Inter-School Sports]]&gt;0,Table167[[#This Row],[Community Clubs]]&gt;0),1,0)</f>
        <v>0</v>
      </c>
      <c r="Q22" s="22"/>
      <c r="R22" s="22"/>
      <c r="S22" s="22"/>
      <c r="T22" s="22"/>
      <c r="U22" s="22"/>
      <c r="V22" s="22"/>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21"/>
    </row>
    <row r="23" spans="1:218" x14ac:dyDescent="0.25">
      <c r="A23" s="22"/>
      <c r="B23" s="22"/>
      <c r="C23" s="22"/>
      <c r="D23" s="22"/>
      <c r="E23" s="22"/>
      <c r="F23" s="22"/>
      <c r="G23" s="22"/>
      <c r="H23" s="22"/>
      <c r="I23" s="22"/>
      <c r="J23" s="22"/>
      <c r="K23" s="17">
        <f>SUM(Table167[[#This Row],[Challenge 1]:[Challenge 50]])</f>
        <v>0</v>
      </c>
      <c r="L23" s="88">
        <f>SUM(Table167[[#This Row],[Club 1]:[Club 50]])</f>
        <v>0</v>
      </c>
      <c r="M23" s="88">
        <f>SUM(Table167[[#This Row],[Intra-school sports 1]:[Intra-school sports 50]])</f>
        <v>0</v>
      </c>
      <c r="N23" s="88">
        <f>SUM(Table167[[#This Row],[Inter School sports 1]:[Inter School sports 50]])</f>
        <v>0</v>
      </c>
      <c r="O23" s="17">
        <f>COUNTIF(Table167[[#This Row],[Community club (type name of club(s). All clubs will count as ''1'']],"*")</f>
        <v>0</v>
      </c>
      <c r="P23" s="17">
        <f>IF(OR(Table167[[#This Row],[Total Challenges]]&gt;0,Table167[[#This Row],[Total Ex-C Clubs]]&gt;0,Table167[[#This Row],[Total Intra-School Sports]]&gt;0,Table167[[#This Row],[Total Inter-School Sports]]&gt;0,Table167[[#This Row],[Community Clubs]]&gt;0),1,0)</f>
        <v>0</v>
      </c>
      <c r="Q23" s="22"/>
      <c r="R23" s="22"/>
      <c r="S23" s="22"/>
      <c r="T23" s="22"/>
      <c r="U23" s="22"/>
      <c r="V23" s="22"/>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21"/>
    </row>
    <row r="24" spans="1:218" x14ac:dyDescent="0.25">
      <c r="A24" s="22"/>
      <c r="B24" s="22"/>
      <c r="C24" s="22"/>
      <c r="D24" s="22"/>
      <c r="E24" s="22"/>
      <c r="F24" s="22"/>
      <c r="G24" s="22"/>
      <c r="H24" s="22"/>
      <c r="I24" s="22"/>
      <c r="J24" s="22"/>
      <c r="K24" s="17">
        <f>SUM(Table167[[#This Row],[Challenge 1]:[Challenge 50]])</f>
        <v>0</v>
      </c>
      <c r="L24" s="88">
        <f>SUM(Table167[[#This Row],[Club 1]:[Club 50]])</f>
        <v>0</v>
      </c>
      <c r="M24" s="88">
        <f>SUM(Table167[[#This Row],[Intra-school sports 1]:[Intra-school sports 50]])</f>
        <v>0</v>
      </c>
      <c r="N24" s="88">
        <f>SUM(Table167[[#This Row],[Inter School sports 1]:[Inter School sports 50]])</f>
        <v>0</v>
      </c>
      <c r="O24" s="17">
        <f>COUNTIF(Table167[[#This Row],[Community club (type name of club(s). All clubs will count as ''1'']],"*")</f>
        <v>0</v>
      </c>
      <c r="P24" s="17">
        <f>IF(OR(Table167[[#This Row],[Total Challenges]]&gt;0,Table167[[#This Row],[Total Ex-C Clubs]]&gt;0,Table167[[#This Row],[Total Intra-School Sports]]&gt;0,Table167[[#This Row],[Total Inter-School Sports]]&gt;0,Table167[[#This Row],[Community Clubs]]&gt;0),1,0)</f>
        <v>0</v>
      </c>
      <c r="Q24" s="22"/>
      <c r="R24" s="22"/>
      <c r="S24" s="22"/>
      <c r="T24" s="22"/>
      <c r="U24" s="22"/>
      <c r="V24" s="22"/>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21"/>
    </row>
    <row r="25" spans="1:218" x14ac:dyDescent="0.25">
      <c r="A25" s="22"/>
      <c r="B25" s="22"/>
      <c r="C25" s="22"/>
      <c r="D25" s="22"/>
      <c r="E25" s="22"/>
      <c r="F25" s="22"/>
      <c r="G25" s="22"/>
      <c r="H25" s="22"/>
      <c r="I25" s="22"/>
      <c r="J25" s="22"/>
      <c r="K25" s="17">
        <f>SUM(Table167[[#This Row],[Challenge 1]:[Challenge 50]])</f>
        <v>0</v>
      </c>
      <c r="L25" s="88">
        <f>SUM(Table167[[#This Row],[Club 1]:[Club 50]])</f>
        <v>0</v>
      </c>
      <c r="M25" s="88">
        <f>SUM(Table167[[#This Row],[Intra-school sports 1]:[Intra-school sports 50]])</f>
        <v>0</v>
      </c>
      <c r="N25" s="88">
        <f>SUM(Table167[[#This Row],[Inter School sports 1]:[Inter School sports 50]])</f>
        <v>0</v>
      </c>
      <c r="O25" s="17">
        <f>COUNTIF(Table167[[#This Row],[Community club (type name of club(s). All clubs will count as ''1'']],"*")</f>
        <v>0</v>
      </c>
      <c r="P25" s="17">
        <f>IF(OR(Table167[[#This Row],[Total Challenges]]&gt;0,Table167[[#This Row],[Total Ex-C Clubs]]&gt;0,Table167[[#This Row],[Total Intra-School Sports]]&gt;0,Table167[[#This Row],[Total Inter-School Sports]]&gt;0,Table167[[#This Row],[Community Clubs]]&gt;0),1,0)</f>
        <v>0</v>
      </c>
      <c r="Q25" s="22"/>
      <c r="R25" s="22"/>
      <c r="S25" s="22"/>
      <c r="T25" s="22"/>
      <c r="U25" s="22"/>
      <c r="V25" s="22"/>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21"/>
    </row>
    <row r="26" spans="1:218" x14ac:dyDescent="0.25">
      <c r="A26" s="22"/>
      <c r="B26" s="22"/>
      <c r="C26" s="22"/>
      <c r="D26" s="22"/>
      <c r="E26" s="22"/>
      <c r="F26" s="22"/>
      <c r="G26" s="22"/>
      <c r="H26" s="22"/>
      <c r="I26" s="22"/>
      <c r="J26" s="22"/>
      <c r="K26" s="17">
        <f>SUM(Table167[[#This Row],[Challenge 1]:[Challenge 50]])</f>
        <v>0</v>
      </c>
      <c r="L26" s="88">
        <f>SUM(Table167[[#This Row],[Club 1]:[Club 50]])</f>
        <v>0</v>
      </c>
      <c r="M26" s="88">
        <f>SUM(Table167[[#This Row],[Intra-school sports 1]:[Intra-school sports 50]])</f>
        <v>0</v>
      </c>
      <c r="N26" s="88">
        <f>SUM(Table167[[#This Row],[Inter School sports 1]:[Inter School sports 50]])</f>
        <v>0</v>
      </c>
      <c r="O26" s="17">
        <f>COUNTIF(Table167[[#This Row],[Community club (type name of club(s). All clubs will count as ''1'']],"*")</f>
        <v>0</v>
      </c>
      <c r="P26" s="17">
        <f>IF(OR(Table167[[#This Row],[Total Challenges]]&gt;0,Table167[[#This Row],[Total Ex-C Clubs]]&gt;0,Table167[[#This Row],[Total Intra-School Sports]]&gt;0,Table167[[#This Row],[Total Inter-School Sports]]&gt;0,Table167[[#This Row],[Community Clubs]]&gt;0),1,0)</f>
        <v>0</v>
      </c>
      <c r="Q26" s="22"/>
      <c r="R26" s="22"/>
      <c r="S26" s="22"/>
      <c r="T26" s="22"/>
      <c r="U26" s="22"/>
      <c r="V26" s="22"/>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21"/>
    </row>
    <row r="27" spans="1:218" x14ac:dyDescent="0.25">
      <c r="A27" s="22"/>
      <c r="B27" s="22"/>
      <c r="C27" s="22"/>
      <c r="D27" s="22"/>
      <c r="E27" s="22"/>
      <c r="F27" s="22"/>
      <c r="G27" s="22"/>
      <c r="H27" s="22"/>
      <c r="I27" s="22"/>
      <c r="J27" s="22"/>
      <c r="K27" s="17">
        <f>SUM(Table167[[#This Row],[Challenge 1]:[Challenge 50]])</f>
        <v>0</v>
      </c>
      <c r="L27" s="88">
        <f>SUM(Table167[[#This Row],[Club 1]:[Club 50]])</f>
        <v>0</v>
      </c>
      <c r="M27" s="88">
        <f>SUM(Table167[[#This Row],[Intra-school sports 1]:[Intra-school sports 50]])</f>
        <v>0</v>
      </c>
      <c r="N27" s="88">
        <f>SUM(Table167[[#This Row],[Inter School sports 1]:[Inter School sports 50]])</f>
        <v>0</v>
      </c>
      <c r="O27" s="17">
        <f>COUNTIF(Table167[[#This Row],[Community club (type name of club(s). All clubs will count as ''1'']],"*")</f>
        <v>0</v>
      </c>
      <c r="P27" s="17">
        <f>IF(OR(Table167[[#This Row],[Total Challenges]]&gt;0,Table167[[#This Row],[Total Ex-C Clubs]]&gt;0,Table167[[#This Row],[Total Intra-School Sports]]&gt;0,Table167[[#This Row],[Total Inter-School Sports]]&gt;0,Table167[[#This Row],[Community Clubs]]&gt;0),1,0)</f>
        <v>0</v>
      </c>
      <c r="Q27" s="22"/>
      <c r="R27" s="22"/>
      <c r="S27" s="22"/>
      <c r="T27" s="22"/>
      <c r="U27" s="22"/>
      <c r="V27" s="22"/>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21"/>
    </row>
    <row r="28" spans="1:218" x14ac:dyDescent="0.25">
      <c r="A28" s="22"/>
      <c r="B28" s="22"/>
      <c r="C28" s="22"/>
      <c r="D28" s="22"/>
      <c r="E28" s="22"/>
      <c r="F28" s="22"/>
      <c r="G28" s="22"/>
      <c r="H28" s="22"/>
      <c r="I28" s="22"/>
      <c r="J28" s="22"/>
      <c r="K28" s="17">
        <f>SUM(Table167[[#This Row],[Challenge 1]:[Challenge 50]])</f>
        <v>0</v>
      </c>
      <c r="L28" s="88">
        <f>SUM(Table167[[#This Row],[Club 1]:[Club 50]])</f>
        <v>0</v>
      </c>
      <c r="M28" s="88">
        <f>SUM(Table167[[#This Row],[Intra-school sports 1]:[Intra-school sports 50]])</f>
        <v>0</v>
      </c>
      <c r="N28" s="88">
        <f>SUM(Table167[[#This Row],[Inter School sports 1]:[Inter School sports 50]])</f>
        <v>0</v>
      </c>
      <c r="O28" s="17">
        <f>COUNTIF(Table167[[#This Row],[Community club (type name of club(s). All clubs will count as ''1'']],"*")</f>
        <v>0</v>
      </c>
      <c r="P28" s="17">
        <f>IF(OR(Table167[[#This Row],[Total Challenges]]&gt;0,Table167[[#This Row],[Total Ex-C Clubs]]&gt;0,Table167[[#This Row],[Total Intra-School Sports]]&gt;0,Table167[[#This Row],[Total Inter-School Sports]]&gt;0,Table167[[#This Row],[Community Clubs]]&gt;0),1,0)</f>
        <v>0</v>
      </c>
      <c r="Q28" s="22"/>
      <c r="R28" s="22"/>
      <c r="S28" s="22"/>
      <c r="T28" s="22"/>
      <c r="U28" s="22"/>
      <c r="V28" s="22"/>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21"/>
    </row>
    <row r="29" spans="1:218" x14ac:dyDescent="0.25">
      <c r="A29" s="22"/>
      <c r="B29" s="22"/>
      <c r="C29" s="22"/>
      <c r="D29" s="22"/>
      <c r="E29" s="22"/>
      <c r="F29" s="22"/>
      <c r="G29" s="22"/>
      <c r="H29" s="22"/>
      <c r="I29" s="22"/>
      <c r="J29" s="22"/>
      <c r="K29" s="17">
        <f>SUM(Table167[[#This Row],[Challenge 1]:[Challenge 50]])</f>
        <v>0</v>
      </c>
      <c r="L29" s="88">
        <f>SUM(Table167[[#This Row],[Club 1]:[Club 50]])</f>
        <v>0</v>
      </c>
      <c r="M29" s="88">
        <f>SUM(Table167[[#This Row],[Intra-school sports 1]:[Intra-school sports 50]])</f>
        <v>0</v>
      </c>
      <c r="N29" s="88">
        <f>SUM(Table167[[#This Row],[Inter School sports 1]:[Inter School sports 50]])</f>
        <v>0</v>
      </c>
      <c r="O29" s="17">
        <f>COUNTIF(Table167[[#This Row],[Community club (type name of club(s). All clubs will count as ''1'']],"*")</f>
        <v>0</v>
      </c>
      <c r="P29" s="17">
        <f>IF(OR(Table167[[#This Row],[Total Challenges]]&gt;0,Table167[[#This Row],[Total Ex-C Clubs]]&gt;0,Table167[[#This Row],[Total Intra-School Sports]]&gt;0,Table167[[#This Row],[Total Inter-School Sports]]&gt;0,Table167[[#This Row],[Community Clubs]]&gt;0),1,0)</f>
        <v>0</v>
      </c>
      <c r="Q29" s="22"/>
      <c r="R29" s="22"/>
      <c r="S29" s="22"/>
      <c r="T29" s="22"/>
      <c r="U29" s="22"/>
      <c r="V29" s="22"/>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21"/>
    </row>
    <row r="30" spans="1:218" x14ac:dyDescent="0.25">
      <c r="A30" s="22"/>
      <c r="B30" s="22"/>
      <c r="C30" s="22"/>
      <c r="D30" s="22"/>
      <c r="E30" s="22"/>
      <c r="F30" s="22"/>
      <c r="G30" s="22"/>
      <c r="H30" s="22"/>
      <c r="I30" s="22"/>
      <c r="J30" s="22"/>
      <c r="K30" s="17">
        <f>SUM(Table167[[#This Row],[Challenge 1]:[Challenge 50]])</f>
        <v>0</v>
      </c>
      <c r="L30" s="88">
        <f>SUM(Table167[[#This Row],[Club 1]:[Club 50]])</f>
        <v>0</v>
      </c>
      <c r="M30" s="88">
        <f>SUM(Table167[[#This Row],[Intra-school sports 1]:[Intra-school sports 50]])</f>
        <v>0</v>
      </c>
      <c r="N30" s="88">
        <f>SUM(Table167[[#This Row],[Inter School sports 1]:[Inter School sports 50]])</f>
        <v>0</v>
      </c>
      <c r="O30" s="17">
        <f>COUNTIF(Table167[[#This Row],[Community club (type name of club(s). All clubs will count as ''1'']],"*")</f>
        <v>0</v>
      </c>
      <c r="P30" s="17">
        <f>IF(OR(Table167[[#This Row],[Total Challenges]]&gt;0,Table167[[#This Row],[Total Ex-C Clubs]]&gt;0,Table167[[#This Row],[Total Intra-School Sports]]&gt;0,Table167[[#This Row],[Total Inter-School Sports]]&gt;0,Table167[[#This Row],[Community Clubs]]&gt;0),1,0)</f>
        <v>0</v>
      </c>
      <c r="Q30" s="22"/>
      <c r="R30" s="22"/>
      <c r="S30" s="22"/>
      <c r="T30" s="22"/>
      <c r="U30" s="22"/>
      <c r="V30" s="22"/>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21"/>
    </row>
    <row r="31" spans="1:218" x14ac:dyDescent="0.25">
      <c r="A31" s="22"/>
      <c r="B31" s="22"/>
      <c r="C31" s="22"/>
      <c r="D31" s="22"/>
      <c r="E31" s="22"/>
      <c r="F31" s="22"/>
      <c r="G31" s="22"/>
      <c r="H31" s="22"/>
      <c r="I31" s="22"/>
      <c r="J31" s="22"/>
      <c r="K31" s="17">
        <f>SUM(Table167[[#This Row],[Challenge 1]:[Challenge 50]])</f>
        <v>0</v>
      </c>
      <c r="L31" s="88">
        <f>SUM(Table167[[#This Row],[Club 1]:[Club 50]])</f>
        <v>0</v>
      </c>
      <c r="M31" s="88">
        <f>SUM(Table167[[#This Row],[Intra-school sports 1]:[Intra-school sports 50]])</f>
        <v>0</v>
      </c>
      <c r="N31" s="88">
        <f>SUM(Table167[[#This Row],[Inter School sports 1]:[Inter School sports 50]])</f>
        <v>0</v>
      </c>
      <c r="O31" s="17">
        <f>COUNTIF(Table167[[#This Row],[Community club (type name of club(s). All clubs will count as ''1'']],"*")</f>
        <v>0</v>
      </c>
      <c r="P31" s="17">
        <f>IF(OR(Table167[[#This Row],[Total Challenges]]&gt;0,Table167[[#This Row],[Total Ex-C Clubs]]&gt;0,Table167[[#This Row],[Total Intra-School Sports]]&gt;0,Table167[[#This Row],[Total Inter-School Sports]]&gt;0,Table167[[#This Row],[Community Clubs]]&gt;0),1,0)</f>
        <v>0</v>
      </c>
      <c r="Q31" s="22"/>
      <c r="R31" s="22"/>
      <c r="S31" s="22"/>
      <c r="T31" s="22"/>
      <c r="U31" s="22"/>
      <c r="V31" s="22"/>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21"/>
    </row>
    <row r="32" spans="1:218" x14ac:dyDescent="0.25">
      <c r="A32" s="22"/>
      <c r="B32" s="22"/>
      <c r="C32" s="22"/>
      <c r="D32" s="22"/>
      <c r="E32" s="22"/>
      <c r="F32" s="22"/>
      <c r="G32" s="22"/>
      <c r="H32" s="22"/>
      <c r="I32" s="22"/>
      <c r="J32" s="22"/>
      <c r="K32" s="17">
        <f>SUM(Table167[[#This Row],[Challenge 1]:[Challenge 50]])</f>
        <v>0</v>
      </c>
      <c r="L32" s="88">
        <f>SUM(Table167[[#This Row],[Club 1]:[Club 50]])</f>
        <v>0</v>
      </c>
      <c r="M32" s="88">
        <f>SUM(Table167[[#This Row],[Intra-school sports 1]:[Intra-school sports 50]])</f>
        <v>0</v>
      </c>
      <c r="N32" s="88">
        <f>SUM(Table167[[#This Row],[Inter School sports 1]:[Inter School sports 50]])</f>
        <v>0</v>
      </c>
      <c r="O32" s="17">
        <f>COUNTIF(Table167[[#This Row],[Community club (type name of club(s). All clubs will count as ''1'']],"*")</f>
        <v>0</v>
      </c>
      <c r="P32" s="17">
        <f>IF(OR(Table167[[#This Row],[Total Challenges]]&gt;0,Table167[[#This Row],[Total Ex-C Clubs]]&gt;0,Table167[[#This Row],[Total Intra-School Sports]]&gt;0,Table167[[#This Row],[Total Inter-School Sports]]&gt;0,Table167[[#This Row],[Community Clubs]]&gt;0),1,0)</f>
        <v>0</v>
      </c>
      <c r="Q32" s="22"/>
      <c r="R32" s="22"/>
      <c r="S32" s="22"/>
      <c r="T32" s="22"/>
      <c r="U32" s="22"/>
      <c r="V32" s="22"/>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21"/>
    </row>
    <row r="33" spans="1:218" x14ac:dyDescent="0.25">
      <c r="A33" s="22"/>
      <c r="B33" s="22"/>
      <c r="C33" s="22"/>
      <c r="D33" s="22"/>
      <c r="E33" s="22"/>
      <c r="F33" s="22"/>
      <c r="G33" s="22"/>
      <c r="H33" s="22"/>
      <c r="I33" s="22"/>
      <c r="J33" s="22"/>
      <c r="K33" s="17">
        <f>SUM(Table167[[#This Row],[Challenge 1]:[Challenge 50]])</f>
        <v>0</v>
      </c>
      <c r="L33" s="88">
        <f>SUM(Table167[[#This Row],[Club 1]:[Club 50]])</f>
        <v>0</v>
      </c>
      <c r="M33" s="88">
        <f>SUM(Table167[[#This Row],[Intra-school sports 1]:[Intra-school sports 50]])</f>
        <v>0</v>
      </c>
      <c r="N33" s="88">
        <f>SUM(Table167[[#This Row],[Inter School sports 1]:[Inter School sports 50]])</f>
        <v>0</v>
      </c>
      <c r="O33" s="17">
        <f>COUNTIF(Table167[[#This Row],[Community club (type name of club(s). All clubs will count as ''1'']],"*")</f>
        <v>0</v>
      </c>
      <c r="P33" s="17">
        <f>IF(OR(Table167[[#This Row],[Total Challenges]]&gt;0,Table167[[#This Row],[Total Ex-C Clubs]]&gt;0,Table167[[#This Row],[Total Intra-School Sports]]&gt;0,Table167[[#This Row],[Total Inter-School Sports]]&gt;0,Table167[[#This Row],[Community Clubs]]&gt;0),1,0)</f>
        <v>0</v>
      </c>
      <c r="Q33" s="22"/>
      <c r="R33" s="22"/>
      <c r="S33" s="22"/>
      <c r="T33" s="22"/>
      <c r="U33" s="22"/>
      <c r="V33" s="22"/>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21"/>
    </row>
    <row r="34" spans="1:218" x14ac:dyDescent="0.25">
      <c r="A34" s="22"/>
      <c r="B34" s="22"/>
      <c r="C34" s="22"/>
      <c r="D34" s="22"/>
      <c r="E34" s="22"/>
      <c r="F34" s="22"/>
      <c r="G34" s="22"/>
      <c r="H34" s="22"/>
      <c r="I34" s="22"/>
      <c r="J34" s="22"/>
      <c r="K34" s="17">
        <f>SUM(Table167[[#This Row],[Challenge 1]:[Challenge 50]])</f>
        <v>0</v>
      </c>
      <c r="L34" s="88">
        <f>SUM(Table167[[#This Row],[Club 1]:[Club 50]])</f>
        <v>0</v>
      </c>
      <c r="M34" s="88">
        <f>SUM(Table167[[#This Row],[Intra-school sports 1]:[Intra-school sports 50]])</f>
        <v>0</v>
      </c>
      <c r="N34" s="88">
        <f>SUM(Table167[[#This Row],[Inter School sports 1]:[Inter School sports 50]])</f>
        <v>0</v>
      </c>
      <c r="O34" s="17">
        <f>COUNTIF(Table167[[#This Row],[Community club (type name of club(s). All clubs will count as ''1'']],"*")</f>
        <v>0</v>
      </c>
      <c r="P34" s="17">
        <f>IF(OR(Table167[[#This Row],[Total Challenges]]&gt;0,Table167[[#This Row],[Total Ex-C Clubs]]&gt;0,Table167[[#This Row],[Total Intra-School Sports]]&gt;0,Table167[[#This Row],[Total Inter-School Sports]]&gt;0,Table167[[#This Row],[Community Clubs]]&gt;0),1,0)</f>
        <v>0</v>
      </c>
      <c r="Q34" s="22"/>
      <c r="R34" s="22"/>
      <c r="S34" s="22"/>
      <c r="T34" s="22"/>
      <c r="U34" s="22"/>
      <c r="V34" s="22"/>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21"/>
    </row>
    <row r="35" spans="1:218" x14ac:dyDescent="0.25">
      <c r="A35" s="22"/>
      <c r="B35" s="22"/>
      <c r="C35" s="22"/>
      <c r="D35" s="22"/>
      <c r="E35" s="22"/>
      <c r="F35" s="22"/>
      <c r="G35" s="22"/>
      <c r="H35" s="22"/>
      <c r="I35" s="22"/>
      <c r="J35" s="22"/>
      <c r="K35" s="17">
        <f>SUM(Table167[[#This Row],[Challenge 1]:[Challenge 50]])</f>
        <v>0</v>
      </c>
      <c r="L35" s="88">
        <f>SUM(Table167[[#This Row],[Club 1]:[Club 50]])</f>
        <v>0</v>
      </c>
      <c r="M35" s="88">
        <f>SUM(Table167[[#This Row],[Intra-school sports 1]:[Intra-school sports 50]])</f>
        <v>0</v>
      </c>
      <c r="N35" s="88">
        <f>SUM(Table167[[#This Row],[Inter School sports 1]:[Inter School sports 50]])</f>
        <v>0</v>
      </c>
      <c r="O35" s="17">
        <f>COUNTIF(Table167[[#This Row],[Community club (type name of club(s). All clubs will count as ''1'']],"*")</f>
        <v>0</v>
      </c>
      <c r="P35" s="17">
        <f>IF(OR(Table167[[#This Row],[Total Challenges]]&gt;0,Table167[[#This Row],[Total Ex-C Clubs]]&gt;0,Table167[[#This Row],[Total Intra-School Sports]]&gt;0,Table167[[#This Row],[Total Inter-School Sports]]&gt;0,Table167[[#This Row],[Community Clubs]]&gt;0),1,0)</f>
        <v>0</v>
      </c>
      <c r="Q35" s="22"/>
      <c r="R35" s="22"/>
      <c r="S35" s="22"/>
      <c r="T35" s="22"/>
      <c r="U35" s="22"/>
      <c r="V35" s="22"/>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21"/>
    </row>
    <row r="36" spans="1:218" x14ac:dyDescent="0.25">
      <c r="A36" s="22"/>
      <c r="B36" s="22"/>
      <c r="C36" s="22"/>
      <c r="D36" s="22"/>
      <c r="E36" s="22"/>
      <c r="F36" s="22"/>
      <c r="G36" s="22"/>
      <c r="H36" s="22"/>
      <c r="I36" s="22"/>
      <c r="J36" s="22"/>
      <c r="K36" s="17">
        <f>SUM(Table167[[#This Row],[Challenge 1]:[Challenge 50]])</f>
        <v>0</v>
      </c>
      <c r="L36" s="88">
        <f>SUM(Table167[[#This Row],[Club 1]:[Club 50]])</f>
        <v>0</v>
      </c>
      <c r="M36" s="88">
        <f>SUM(Table167[[#This Row],[Intra-school sports 1]:[Intra-school sports 50]])</f>
        <v>0</v>
      </c>
      <c r="N36" s="88">
        <f>SUM(Table167[[#This Row],[Inter School sports 1]:[Inter School sports 50]])</f>
        <v>0</v>
      </c>
      <c r="O36" s="17">
        <f>COUNTIF(Table167[[#This Row],[Community club (type name of club(s). All clubs will count as ''1'']],"*")</f>
        <v>0</v>
      </c>
      <c r="P36" s="17">
        <f>IF(OR(Table167[[#This Row],[Total Challenges]]&gt;0,Table167[[#This Row],[Total Ex-C Clubs]]&gt;0,Table167[[#This Row],[Total Intra-School Sports]]&gt;0,Table167[[#This Row],[Total Inter-School Sports]]&gt;0,Table167[[#This Row],[Community Clubs]]&gt;0),1,0)</f>
        <v>0</v>
      </c>
      <c r="Q36" s="22"/>
      <c r="R36" s="22"/>
      <c r="S36" s="22"/>
      <c r="T36" s="22"/>
      <c r="U36" s="22"/>
      <c r="V36" s="22"/>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21"/>
    </row>
    <row r="37" spans="1:218" x14ac:dyDescent="0.25">
      <c r="A37" s="22"/>
      <c r="B37" s="22"/>
      <c r="C37" s="22"/>
      <c r="D37" s="22"/>
      <c r="E37" s="22"/>
      <c r="F37" s="22"/>
      <c r="G37" s="22"/>
      <c r="H37" s="22"/>
      <c r="I37" s="22"/>
      <c r="J37" s="22"/>
      <c r="K37" s="17">
        <f>SUM(Table167[[#This Row],[Challenge 1]:[Challenge 50]])</f>
        <v>0</v>
      </c>
      <c r="L37" s="88">
        <f>SUM(Table167[[#This Row],[Club 1]:[Club 50]])</f>
        <v>0</v>
      </c>
      <c r="M37" s="88">
        <f>SUM(Table167[[#This Row],[Intra-school sports 1]:[Intra-school sports 50]])</f>
        <v>0</v>
      </c>
      <c r="N37" s="88">
        <f>SUM(Table167[[#This Row],[Inter School sports 1]:[Inter School sports 50]])</f>
        <v>0</v>
      </c>
      <c r="O37" s="17">
        <f>COUNTIF(Table167[[#This Row],[Community club (type name of club(s). All clubs will count as ''1'']],"*")</f>
        <v>0</v>
      </c>
      <c r="P37" s="17">
        <f>IF(OR(Table167[[#This Row],[Total Challenges]]&gt;0,Table167[[#This Row],[Total Ex-C Clubs]]&gt;0,Table167[[#This Row],[Total Intra-School Sports]]&gt;0,Table167[[#This Row],[Total Inter-School Sports]]&gt;0,Table167[[#This Row],[Community Clubs]]&gt;0),1,0)</f>
        <v>0</v>
      </c>
      <c r="Q37" s="22"/>
      <c r="R37" s="22"/>
      <c r="S37" s="22"/>
      <c r="T37" s="22"/>
      <c r="U37" s="22"/>
      <c r="V37" s="22"/>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21"/>
    </row>
    <row r="38" spans="1:218" x14ac:dyDescent="0.25">
      <c r="A38" s="22"/>
      <c r="B38" s="22"/>
      <c r="C38" s="22"/>
      <c r="D38" s="22"/>
      <c r="E38" s="22"/>
      <c r="F38" s="22"/>
      <c r="G38" s="22"/>
      <c r="H38" s="22"/>
      <c r="I38" s="22"/>
      <c r="J38" s="22"/>
      <c r="K38" s="17">
        <f>SUM(Table167[[#This Row],[Challenge 1]:[Challenge 50]])</f>
        <v>0</v>
      </c>
      <c r="L38" s="88">
        <f>SUM(Table167[[#This Row],[Club 1]:[Club 50]])</f>
        <v>0</v>
      </c>
      <c r="M38" s="88">
        <f>SUM(Table167[[#This Row],[Intra-school sports 1]:[Intra-school sports 50]])</f>
        <v>0</v>
      </c>
      <c r="N38" s="88">
        <f>SUM(Table167[[#This Row],[Inter School sports 1]:[Inter School sports 50]])</f>
        <v>0</v>
      </c>
      <c r="O38" s="17">
        <f>COUNTIF(Table167[[#This Row],[Community club (type name of club(s). All clubs will count as ''1'']],"*")</f>
        <v>0</v>
      </c>
      <c r="P38" s="17">
        <f>IF(OR(Table167[[#This Row],[Total Challenges]]&gt;0,Table167[[#This Row],[Total Ex-C Clubs]]&gt;0,Table167[[#This Row],[Total Intra-School Sports]]&gt;0,Table167[[#This Row],[Total Inter-School Sports]]&gt;0,Table167[[#This Row],[Community Clubs]]&gt;0),1,0)</f>
        <v>0</v>
      </c>
      <c r="Q38" s="22"/>
      <c r="R38" s="22"/>
      <c r="S38" s="22"/>
      <c r="T38" s="22"/>
      <c r="U38" s="22"/>
      <c r="V38" s="22"/>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21"/>
    </row>
    <row r="39" spans="1:218" x14ac:dyDescent="0.25">
      <c r="A39" s="22"/>
      <c r="B39" s="22"/>
      <c r="C39" s="22"/>
      <c r="D39" s="22"/>
      <c r="E39" s="22"/>
      <c r="F39" s="22"/>
      <c r="G39" s="22"/>
      <c r="H39" s="22"/>
      <c r="I39" s="22"/>
      <c r="J39" s="22"/>
      <c r="K39" s="17">
        <f>SUM(Table167[[#This Row],[Challenge 1]:[Challenge 50]])</f>
        <v>0</v>
      </c>
      <c r="L39" s="88">
        <f>SUM(Table167[[#This Row],[Club 1]:[Club 50]])</f>
        <v>0</v>
      </c>
      <c r="M39" s="88">
        <f>SUM(Table167[[#This Row],[Intra-school sports 1]:[Intra-school sports 50]])</f>
        <v>0</v>
      </c>
      <c r="N39" s="88">
        <f>SUM(Table167[[#This Row],[Inter School sports 1]:[Inter School sports 50]])</f>
        <v>0</v>
      </c>
      <c r="O39" s="17">
        <f>COUNTIF(Table167[[#This Row],[Community club (type name of club(s). All clubs will count as ''1'']],"*")</f>
        <v>0</v>
      </c>
      <c r="P39" s="17">
        <f>IF(OR(Table167[[#This Row],[Total Challenges]]&gt;0,Table167[[#This Row],[Total Ex-C Clubs]]&gt;0,Table167[[#This Row],[Total Intra-School Sports]]&gt;0,Table167[[#This Row],[Total Inter-School Sports]]&gt;0,Table167[[#This Row],[Community Clubs]]&gt;0),1,0)</f>
        <v>0</v>
      </c>
      <c r="Q39" s="22"/>
      <c r="R39" s="22"/>
      <c r="S39" s="22"/>
      <c r="T39" s="22"/>
      <c r="U39" s="22"/>
      <c r="V39" s="22"/>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21"/>
    </row>
    <row r="40" spans="1:218" x14ac:dyDescent="0.25">
      <c r="A40" s="22"/>
      <c r="B40" s="22"/>
      <c r="C40" s="22"/>
      <c r="D40" s="22"/>
      <c r="E40" s="22"/>
      <c r="F40" s="22"/>
      <c r="G40" s="22"/>
      <c r="H40" s="22"/>
      <c r="I40" s="22"/>
      <c r="J40" s="22"/>
      <c r="K40" s="17">
        <f>SUM(Table167[[#This Row],[Challenge 1]:[Challenge 50]])</f>
        <v>0</v>
      </c>
      <c r="L40" s="88">
        <f>SUM(Table167[[#This Row],[Club 1]:[Club 50]])</f>
        <v>0</v>
      </c>
      <c r="M40" s="88">
        <f>SUM(Table167[[#This Row],[Intra-school sports 1]:[Intra-school sports 50]])</f>
        <v>0</v>
      </c>
      <c r="N40" s="88">
        <f>SUM(Table167[[#This Row],[Inter School sports 1]:[Inter School sports 50]])</f>
        <v>0</v>
      </c>
      <c r="O40" s="17">
        <f>COUNTIF(Table167[[#This Row],[Community club (type name of club(s). All clubs will count as ''1'']],"*")</f>
        <v>0</v>
      </c>
      <c r="P40" s="17">
        <f>IF(OR(Table167[[#This Row],[Total Challenges]]&gt;0,Table167[[#This Row],[Total Ex-C Clubs]]&gt;0,Table167[[#This Row],[Total Intra-School Sports]]&gt;0,Table167[[#This Row],[Total Inter-School Sports]]&gt;0,Table167[[#This Row],[Community Clubs]]&gt;0),1,0)</f>
        <v>0</v>
      </c>
      <c r="Q40" s="22"/>
      <c r="R40" s="22"/>
      <c r="S40" s="22"/>
      <c r="T40" s="22"/>
      <c r="U40" s="22"/>
      <c r="V40" s="22"/>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21"/>
    </row>
    <row r="41" spans="1:218" x14ac:dyDescent="0.25">
      <c r="A41" s="22"/>
      <c r="B41" s="22"/>
      <c r="C41" s="22"/>
      <c r="D41" s="22"/>
      <c r="E41" s="22"/>
      <c r="F41" s="22"/>
      <c r="G41" s="22"/>
      <c r="H41" s="22"/>
      <c r="I41" s="22"/>
      <c r="J41" s="22"/>
      <c r="K41" s="17">
        <f>SUM(Table167[[#This Row],[Challenge 1]:[Challenge 50]])</f>
        <v>0</v>
      </c>
      <c r="L41" s="88">
        <f>SUM(Table167[[#This Row],[Club 1]:[Club 50]])</f>
        <v>0</v>
      </c>
      <c r="M41" s="88">
        <f>SUM(Table167[[#This Row],[Intra-school sports 1]:[Intra-school sports 50]])</f>
        <v>0</v>
      </c>
      <c r="N41" s="88">
        <f>SUM(Table167[[#This Row],[Inter School sports 1]:[Inter School sports 50]])</f>
        <v>0</v>
      </c>
      <c r="O41" s="17">
        <f>COUNTIF(Table167[[#This Row],[Community club (type name of club(s). All clubs will count as ''1'']],"*")</f>
        <v>0</v>
      </c>
      <c r="P41" s="17">
        <f>IF(OR(Table167[[#This Row],[Total Challenges]]&gt;0,Table167[[#This Row],[Total Ex-C Clubs]]&gt;0,Table167[[#This Row],[Total Intra-School Sports]]&gt;0,Table167[[#This Row],[Total Inter-School Sports]]&gt;0,Table167[[#This Row],[Community Clubs]]&gt;0),1,0)</f>
        <v>0</v>
      </c>
      <c r="Q41" s="22"/>
      <c r="R41" s="22"/>
      <c r="S41" s="22"/>
      <c r="T41" s="22"/>
      <c r="U41" s="22"/>
      <c r="V41" s="22"/>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21"/>
    </row>
    <row r="42" spans="1:218" x14ac:dyDescent="0.25">
      <c r="A42" s="22"/>
      <c r="B42" s="22"/>
      <c r="C42" s="22"/>
      <c r="D42" s="22"/>
      <c r="E42" s="22"/>
      <c r="F42" s="22"/>
      <c r="G42" s="22"/>
      <c r="H42" s="22"/>
      <c r="I42" s="22"/>
      <c r="J42" s="22"/>
      <c r="K42" s="17">
        <f>SUM(Table167[[#This Row],[Challenge 1]:[Challenge 50]])</f>
        <v>0</v>
      </c>
      <c r="L42" s="88">
        <f>SUM(Table167[[#This Row],[Club 1]:[Club 50]])</f>
        <v>0</v>
      </c>
      <c r="M42" s="88">
        <f>SUM(Table167[[#This Row],[Intra-school sports 1]:[Intra-school sports 50]])</f>
        <v>0</v>
      </c>
      <c r="N42" s="88">
        <f>SUM(Table167[[#This Row],[Inter School sports 1]:[Inter School sports 50]])</f>
        <v>0</v>
      </c>
      <c r="O42" s="17">
        <f>COUNTIF(Table167[[#This Row],[Community club (type name of club(s). All clubs will count as ''1'']],"*")</f>
        <v>0</v>
      </c>
      <c r="P42" s="17">
        <f>IF(OR(Table167[[#This Row],[Total Challenges]]&gt;0,Table167[[#This Row],[Total Ex-C Clubs]]&gt;0,Table167[[#This Row],[Total Intra-School Sports]]&gt;0,Table167[[#This Row],[Total Inter-School Sports]]&gt;0,Table167[[#This Row],[Community Clubs]]&gt;0),1,0)</f>
        <v>0</v>
      </c>
      <c r="Q42" s="22"/>
      <c r="R42" s="22"/>
      <c r="S42" s="22"/>
      <c r="T42" s="22"/>
      <c r="U42" s="22"/>
      <c r="V42" s="22"/>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21"/>
    </row>
    <row r="43" spans="1:218" x14ac:dyDescent="0.25">
      <c r="A43" s="22"/>
      <c r="B43" s="22"/>
      <c r="C43" s="22"/>
      <c r="D43" s="22"/>
      <c r="E43" s="22"/>
      <c r="F43" s="22"/>
      <c r="G43" s="22"/>
      <c r="H43" s="22"/>
      <c r="I43" s="22"/>
      <c r="J43" s="22"/>
      <c r="K43" s="17">
        <f>SUM(Table167[[#This Row],[Challenge 1]:[Challenge 50]])</f>
        <v>0</v>
      </c>
      <c r="L43" s="88">
        <f>SUM(Table167[[#This Row],[Club 1]:[Club 50]])</f>
        <v>0</v>
      </c>
      <c r="M43" s="88">
        <f>SUM(Table167[[#This Row],[Intra-school sports 1]:[Intra-school sports 50]])</f>
        <v>0</v>
      </c>
      <c r="N43" s="88">
        <f>SUM(Table167[[#This Row],[Inter School sports 1]:[Inter School sports 50]])</f>
        <v>0</v>
      </c>
      <c r="O43" s="17">
        <f>COUNTIF(Table167[[#This Row],[Community club (type name of club(s). All clubs will count as ''1'']],"*")</f>
        <v>0</v>
      </c>
      <c r="P43" s="17">
        <f>IF(OR(Table167[[#This Row],[Total Challenges]]&gt;0,Table167[[#This Row],[Total Ex-C Clubs]]&gt;0,Table167[[#This Row],[Total Intra-School Sports]]&gt;0,Table167[[#This Row],[Total Inter-School Sports]]&gt;0,Table167[[#This Row],[Community Clubs]]&gt;0),1,0)</f>
        <v>0</v>
      </c>
      <c r="Q43" s="22"/>
      <c r="R43" s="22"/>
      <c r="S43" s="22"/>
      <c r="T43" s="22"/>
      <c r="U43" s="22"/>
      <c r="V43" s="22"/>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21"/>
    </row>
    <row r="44" spans="1:218" x14ac:dyDescent="0.25">
      <c r="A44" s="22"/>
      <c r="B44" s="22"/>
      <c r="C44" s="22"/>
      <c r="D44" s="22"/>
      <c r="E44" s="22"/>
      <c r="F44" s="22"/>
      <c r="G44" s="22"/>
      <c r="H44" s="22"/>
      <c r="I44" s="22"/>
      <c r="J44" s="22"/>
      <c r="K44" s="17">
        <f>SUM(Table167[[#This Row],[Challenge 1]:[Challenge 50]])</f>
        <v>0</v>
      </c>
      <c r="L44" s="88">
        <f>SUM(Table167[[#This Row],[Club 1]:[Club 50]])</f>
        <v>0</v>
      </c>
      <c r="M44" s="88">
        <f>SUM(Table167[[#This Row],[Intra-school sports 1]:[Intra-school sports 50]])</f>
        <v>0</v>
      </c>
      <c r="N44" s="88">
        <f>SUM(Table167[[#This Row],[Inter School sports 1]:[Inter School sports 50]])</f>
        <v>0</v>
      </c>
      <c r="O44" s="17">
        <f>COUNTIF(Table167[[#This Row],[Community club (type name of club(s). All clubs will count as ''1'']],"*")</f>
        <v>0</v>
      </c>
      <c r="P44" s="17">
        <f>IF(OR(Table167[[#This Row],[Total Challenges]]&gt;0,Table167[[#This Row],[Total Ex-C Clubs]]&gt;0,Table167[[#This Row],[Total Intra-School Sports]]&gt;0,Table167[[#This Row],[Total Inter-School Sports]]&gt;0,Table167[[#This Row],[Community Clubs]]&gt;0),1,0)</f>
        <v>0</v>
      </c>
      <c r="Q44" s="22"/>
      <c r="R44" s="22"/>
      <c r="S44" s="22"/>
      <c r="T44" s="22"/>
      <c r="U44" s="22"/>
      <c r="V44" s="22"/>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21"/>
    </row>
    <row r="45" spans="1:218" x14ac:dyDescent="0.25">
      <c r="A45" s="22"/>
      <c r="B45" s="22"/>
      <c r="C45" s="22"/>
      <c r="D45" s="22"/>
      <c r="E45" s="22"/>
      <c r="F45" s="22"/>
      <c r="G45" s="22"/>
      <c r="H45" s="22"/>
      <c r="I45" s="22"/>
      <c r="J45" s="22"/>
      <c r="K45" s="17">
        <f>SUM(Table167[[#This Row],[Challenge 1]:[Challenge 50]])</f>
        <v>0</v>
      </c>
      <c r="L45" s="88">
        <f>SUM(Table167[[#This Row],[Club 1]:[Club 50]])</f>
        <v>0</v>
      </c>
      <c r="M45" s="88">
        <f>SUM(Table167[[#This Row],[Intra-school sports 1]:[Intra-school sports 50]])</f>
        <v>0</v>
      </c>
      <c r="N45" s="88">
        <f>SUM(Table167[[#This Row],[Inter School sports 1]:[Inter School sports 50]])</f>
        <v>0</v>
      </c>
      <c r="O45" s="17">
        <f>COUNTIF(Table167[[#This Row],[Community club (type name of club(s). All clubs will count as ''1'']],"*")</f>
        <v>0</v>
      </c>
      <c r="P45" s="17">
        <f>IF(OR(Table167[[#This Row],[Total Challenges]]&gt;0,Table167[[#This Row],[Total Ex-C Clubs]]&gt;0,Table167[[#This Row],[Total Intra-School Sports]]&gt;0,Table167[[#This Row],[Total Inter-School Sports]]&gt;0,Table167[[#This Row],[Community Clubs]]&gt;0),1,0)</f>
        <v>0</v>
      </c>
      <c r="Q45" s="22"/>
      <c r="R45" s="22"/>
      <c r="S45" s="22"/>
      <c r="T45" s="22"/>
      <c r="U45" s="22"/>
      <c r="V45" s="22"/>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21"/>
    </row>
    <row r="46" spans="1:218" x14ac:dyDescent="0.25">
      <c r="A46" s="22"/>
      <c r="B46" s="22"/>
      <c r="C46" s="22"/>
      <c r="D46" s="22"/>
      <c r="E46" s="22"/>
      <c r="F46" s="22"/>
      <c r="G46" s="22"/>
      <c r="H46" s="22"/>
      <c r="I46" s="22"/>
      <c r="J46" s="22"/>
      <c r="K46" s="17">
        <f>SUM(Table167[[#This Row],[Challenge 1]:[Challenge 50]])</f>
        <v>0</v>
      </c>
      <c r="L46" s="88">
        <f>SUM(Table167[[#This Row],[Club 1]:[Club 50]])</f>
        <v>0</v>
      </c>
      <c r="M46" s="88">
        <f>SUM(Table167[[#This Row],[Intra-school sports 1]:[Intra-school sports 50]])</f>
        <v>0</v>
      </c>
      <c r="N46" s="88">
        <f>SUM(Table167[[#This Row],[Inter School sports 1]:[Inter School sports 50]])</f>
        <v>0</v>
      </c>
      <c r="O46" s="17">
        <f>COUNTIF(Table167[[#This Row],[Community club (type name of club(s). All clubs will count as ''1'']],"*")</f>
        <v>0</v>
      </c>
      <c r="P46" s="17">
        <f>IF(OR(Table167[[#This Row],[Total Challenges]]&gt;0,Table167[[#This Row],[Total Ex-C Clubs]]&gt;0,Table167[[#This Row],[Total Intra-School Sports]]&gt;0,Table167[[#This Row],[Total Inter-School Sports]]&gt;0,Table167[[#This Row],[Community Clubs]]&gt;0),1,0)</f>
        <v>0</v>
      </c>
      <c r="Q46" s="22"/>
      <c r="R46" s="22"/>
      <c r="S46" s="22"/>
      <c r="T46" s="22"/>
      <c r="U46" s="22"/>
      <c r="V46" s="22"/>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21"/>
    </row>
    <row r="47" spans="1:218" x14ac:dyDescent="0.25">
      <c r="A47" s="22"/>
      <c r="B47" s="22"/>
      <c r="C47" s="22"/>
      <c r="D47" s="22"/>
      <c r="E47" s="22"/>
      <c r="F47" s="22"/>
      <c r="G47" s="22"/>
      <c r="H47" s="22"/>
      <c r="I47" s="22"/>
      <c r="J47" s="22"/>
      <c r="K47" s="17">
        <f>SUM(Table167[[#This Row],[Challenge 1]:[Challenge 50]])</f>
        <v>0</v>
      </c>
      <c r="L47" s="88">
        <f>SUM(Table167[[#This Row],[Club 1]:[Club 50]])</f>
        <v>0</v>
      </c>
      <c r="M47" s="88">
        <f>SUM(Table167[[#This Row],[Intra-school sports 1]:[Intra-school sports 50]])</f>
        <v>0</v>
      </c>
      <c r="N47" s="88">
        <f>SUM(Table167[[#This Row],[Inter School sports 1]:[Inter School sports 50]])</f>
        <v>0</v>
      </c>
      <c r="O47" s="17">
        <f>COUNTIF(Table167[[#This Row],[Community club (type name of club(s). All clubs will count as ''1'']],"*")</f>
        <v>0</v>
      </c>
      <c r="P47" s="17">
        <f>IF(OR(Table167[[#This Row],[Total Challenges]]&gt;0,Table167[[#This Row],[Total Ex-C Clubs]]&gt;0,Table167[[#This Row],[Total Intra-School Sports]]&gt;0,Table167[[#This Row],[Total Inter-School Sports]]&gt;0,Table167[[#This Row],[Community Clubs]]&gt;0),1,0)</f>
        <v>0</v>
      </c>
      <c r="Q47" s="22"/>
      <c r="R47" s="22"/>
      <c r="S47" s="22"/>
      <c r="T47" s="22"/>
      <c r="U47" s="22"/>
      <c r="V47" s="22"/>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21"/>
    </row>
    <row r="48" spans="1:218" x14ac:dyDescent="0.25">
      <c r="A48" s="22"/>
      <c r="B48" s="22"/>
      <c r="C48" s="22"/>
      <c r="D48" s="22"/>
      <c r="E48" s="22"/>
      <c r="F48" s="22"/>
      <c r="G48" s="22"/>
      <c r="H48" s="22"/>
      <c r="I48" s="22"/>
      <c r="J48" s="22"/>
      <c r="K48" s="17">
        <f>SUM(Table167[[#This Row],[Challenge 1]:[Challenge 50]])</f>
        <v>0</v>
      </c>
      <c r="L48" s="88">
        <f>SUM(Table167[[#This Row],[Club 1]:[Club 50]])</f>
        <v>0</v>
      </c>
      <c r="M48" s="88">
        <f>SUM(Table167[[#This Row],[Intra-school sports 1]:[Intra-school sports 50]])</f>
        <v>0</v>
      </c>
      <c r="N48" s="88">
        <f>SUM(Table167[[#This Row],[Inter School sports 1]:[Inter School sports 50]])</f>
        <v>0</v>
      </c>
      <c r="O48" s="17">
        <f>COUNTIF(Table167[[#This Row],[Community club (type name of club(s). All clubs will count as ''1'']],"*")</f>
        <v>0</v>
      </c>
      <c r="P48" s="17">
        <f>IF(OR(Table167[[#This Row],[Total Challenges]]&gt;0,Table167[[#This Row],[Total Ex-C Clubs]]&gt;0,Table167[[#This Row],[Total Intra-School Sports]]&gt;0,Table167[[#This Row],[Total Inter-School Sports]]&gt;0,Table167[[#This Row],[Community Clubs]]&gt;0),1,0)</f>
        <v>0</v>
      </c>
      <c r="Q48" s="22"/>
      <c r="R48" s="22"/>
      <c r="S48" s="22"/>
      <c r="T48" s="22"/>
      <c r="U48" s="22"/>
      <c r="V48" s="22"/>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21"/>
    </row>
    <row r="49" spans="1:218" x14ac:dyDescent="0.25">
      <c r="A49" s="22"/>
      <c r="B49" s="22"/>
      <c r="C49" s="22"/>
      <c r="D49" s="22"/>
      <c r="E49" s="22"/>
      <c r="F49" s="22"/>
      <c r="G49" s="22"/>
      <c r="H49" s="22"/>
      <c r="I49" s="22"/>
      <c r="J49" s="22"/>
      <c r="K49" s="17">
        <f>SUM(Table167[[#This Row],[Challenge 1]:[Challenge 50]])</f>
        <v>0</v>
      </c>
      <c r="L49" s="88">
        <f>SUM(Table167[[#This Row],[Club 1]:[Club 50]])</f>
        <v>0</v>
      </c>
      <c r="M49" s="88">
        <f>SUM(Table167[[#This Row],[Intra-school sports 1]:[Intra-school sports 50]])</f>
        <v>0</v>
      </c>
      <c r="N49" s="88">
        <f>SUM(Table167[[#This Row],[Inter School sports 1]:[Inter School sports 50]])</f>
        <v>0</v>
      </c>
      <c r="O49" s="17">
        <f>COUNTIF(Table167[[#This Row],[Community club (type name of club(s). All clubs will count as ''1'']],"*")</f>
        <v>0</v>
      </c>
      <c r="P49" s="17">
        <f>IF(OR(Table167[[#This Row],[Total Challenges]]&gt;0,Table167[[#This Row],[Total Ex-C Clubs]]&gt;0,Table167[[#This Row],[Total Intra-School Sports]]&gt;0,Table167[[#This Row],[Total Inter-School Sports]]&gt;0,Table167[[#This Row],[Community Clubs]]&gt;0),1,0)</f>
        <v>0</v>
      </c>
      <c r="Q49" s="22"/>
      <c r="R49" s="22"/>
      <c r="S49" s="22"/>
      <c r="T49" s="22"/>
      <c r="U49" s="22"/>
      <c r="V49" s="22"/>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21"/>
    </row>
    <row r="50" spans="1:218" x14ac:dyDescent="0.25">
      <c r="A50" s="22"/>
      <c r="B50" s="22"/>
      <c r="C50" s="22"/>
      <c r="D50" s="22"/>
      <c r="E50" s="22"/>
      <c r="F50" s="22"/>
      <c r="G50" s="22"/>
      <c r="H50" s="22"/>
      <c r="I50" s="22"/>
      <c r="J50" s="22"/>
      <c r="K50" s="17">
        <f>SUM(Table167[[#This Row],[Challenge 1]:[Challenge 50]])</f>
        <v>0</v>
      </c>
      <c r="L50" s="88">
        <f>SUM(Table167[[#This Row],[Club 1]:[Club 50]])</f>
        <v>0</v>
      </c>
      <c r="M50" s="88">
        <f>SUM(Table167[[#This Row],[Intra-school sports 1]:[Intra-school sports 50]])</f>
        <v>0</v>
      </c>
      <c r="N50" s="88">
        <f>SUM(Table167[[#This Row],[Inter School sports 1]:[Inter School sports 50]])</f>
        <v>0</v>
      </c>
      <c r="O50" s="17">
        <f>COUNTIF(Table167[[#This Row],[Community club (type name of club(s). All clubs will count as ''1'']],"*")</f>
        <v>0</v>
      </c>
      <c r="P50" s="17">
        <f>IF(OR(Table167[[#This Row],[Total Challenges]]&gt;0,Table167[[#This Row],[Total Ex-C Clubs]]&gt;0,Table167[[#This Row],[Total Intra-School Sports]]&gt;0,Table167[[#This Row],[Total Inter-School Sports]]&gt;0,Table167[[#This Row],[Community Clubs]]&gt;0),1,0)</f>
        <v>0</v>
      </c>
      <c r="Q50" s="22"/>
      <c r="R50" s="22"/>
      <c r="S50" s="22"/>
      <c r="T50" s="22"/>
      <c r="U50" s="22"/>
      <c r="V50" s="22"/>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21"/>
    </row>
    <row r="51" spans="1:218" x14ac:dyDescent="0.25">
      <c r="A51" s="22"/>
      <c r="B51" s="22"/>
      <c r="C51" s="22"/>
      <c r="D51" s="22"/>
      <c r="E51" s="22"/>
      <c r="F51" s="22"/>
      <c r="G51" s="22"/>
      <c r="H51" s="22"/>
      <c r="I51" s="22"/>
      <c r="J51" s="22"/>
      <c r="K51" s="17">
        <f>SUM(Table167[[#This Row],[Challenge 1]:[Challenge 50]])</f>
        <v>0</v>
      </c>
      <c r="L51" s="88">
        <f>SUM(Table167[[#This Row],[Club 1]:[Club 50]])</f>
        <v>0</v>
      </c>
      <c r="M51" s="88">
        <f>SUM(Table167[[#This Row],[Intra-school sports 1]:[Intra-school sports 50]])</f>
        <v>0</v>
      </c>
      <c r="N51" s="88">
        <f>SUM(Table167[[#This Row],[Inter School sports 1]:[Inter School sports 50]])</f>
        <v>0</v>
      </c>
      <c r="O51" s="17">
        <f>COUNTIF(Table167[[#This Row],[Community club (type name of club(s). All clubs will count as ''1'']],"*")</f>
        <v>0</v>
      </c>
      <c r="P51" s="17">
        <f>IF(OR(Table167[[#This Row],[Total Challenges]]&gt;0,Table167[[#This Row],[Total Ex-C Clubs]]&gt;0,Table167[[#This Row],[Total Intra-School Sports]]&gt;0,Table167[[#This Row],[Total Inter-School Sports]]&gt;0,Table167[[#This Row],[Community Clubs]]&gt;0),1,0)</f>
        <v>0</v>
      </c>
      <c r="Q51" s="22"/>
      <c r="R51" s="22"/>
      <c r="S51" s="22"/>
      <c r="T51" s="22"/>
      <c r="U51" s="22"/>
      <c r="V51" s="22"/>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21"/>
    </row>
    <row r="52" spans="1:218" x14ac:dyDescent="0.25">
      <c r="A52" s="22"/>
      <c r="B52" s="22"/>
      <c r="C52" s="22"/>
      <c r="D52" s="22"/>
      <c r="E52" s="22"/>
      <c r="F52" s="22"/>
      <c r="G52" s="22"/>
      <c r="H52" s="22"/>
      <c r="I52" s="22"/>
      <c r="J52" s="22"/>
      <c r="K52" s="17">
        <f>SUM(Table167[[#This Row],[Challenge 1]:[Challenge 50]])</f>
        <v>0</v>
      </c>
      <c r="L52" s="88">
        <f>SUM(Table167[[#This Row],[Club 1]:[Club 50]])</f>
        <v>0</v>
      </c>
      <c r="M52" s="88">
        <f>SUM(Table167[[#This Row],[Intra-school sports 1]:[Intra-school sports 50]])</f>
        <v>0</v>
      </c>
      <c r="N52" s="88">
        <f>SUM(Table167[[#This Row],[Inter School sports 1]:[Inter School sports 50]])</f>
        <v>0</v>
      </c>
      <c r="O52" s="17">
        <f>COUNTIF(Table167[[#This Row],[Community club (type name of club(s). All clubs will count as ''1'']],"*")</f>
        <v>0</v>
      </c>
      <c r="P52" s="17">
        <f>IF(OR(Table167[[#This Row],[Total Challenges]]&gt;0,Table167[[#This Row],[Total Ex-C Clubs]]&gt;0,Table167[[#This Row],[Total Intra-School Sports]]&gt;0,Table167[[#This Row],[Total Inter-School Sports]]&gt;0,Table167[[#This Row],[Community Clubs]]&gt;0),1,0)</f>
        <v>0</v>
      </c>
      <c r="Q52" s="22"/>
      <c r="R52" s="22"/>
      <c r="S52" s="22"/>
      <c r="T52" s="22"/>
      <c r="U52" s="22"/>
      <c r="V52" s="22"/>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21"/>
    </row>
    <row r="53" spans="1:218" x14ac:dyDescent="0.25">
      <c r="A53" s="22"/>
      <c r="B53" s="22"/>
      <c r="C53" s="22"/>
      <c r="D53" s="22"/>
      <c r="E53" s="22"/>
      <c r="F53" s="22"/>
      <c r="G53" s="22"/>
      <c r="H53" s="22"/>
      <c r="I53" s="22"/>
      <c r="J53" s="22"/>
      <c r="K53" s="17">
        <f>SUM(Table167[[#This Row],[Challenge 1]:[Challenge 50]])</f>
        <v>0</v>
      </c>
      <c r="L53" s="88">
        <f>SUM(Table167[[#This Row],[Club 1]:[Club 50]])</f>
        <v>0</v>
      </c>
      <c r="M53" s="88">
        <f>SUM(Table167[[#This Row],[Intra-school sports 1]:[Intra-school sports 50]])</f>
        <v>0</v>
      </c>
      <c r="N53" s="88">
        <f>SUM(Table167[[#This Row],[Inter School sports 1]:[Inter School sports 50]])</f>
        <v>0</v>
      </c>
      <c r="O53" s="17">
        <f>COUNTIF(Table167[[#This Row],[Community club (type name of club(s). All clubs will count as ''1'']],"*")</f>
        <v>0</v>
      </c>
      <c r="P53" s="17">
        <f>IF(OR(Table167[[#This Row],[Total Challenges]]&gt;0,Table167[[#This Row],[Total Ex-C Clubs]]&gt;0,Table167[[#This Row],[Total Intra-School Sports]]&gt;0,Table167[[#This Row],[Total Inter-School Sports]]&gt;0,Table167[[#This Row],[Community Clubs]]&gt;0),1,0)</f>
        <v>0</v>
      </c>
      <c r="Q53" s="22"/>
      <c r="R53" s="22"/>
      <c r="S53" s="22"/>
      <c r="T53" s="22"/>
      <c r="U53" s="22"/>
      <c r="V53" s="22"/>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21"/>
    </row>
    <row r="54" spans="1:218" x14ac:dyDescent="0.25">
      <c r="A54" s="22"/>
      <c r="B54" s="22"/>
      <c r="C54" s="22"/>
      <c r="D54" s="22"/>
      <c r="E54" s="22"/>
      <c r="F54" s="22"/>
      <c r="G54" s="22"/>
      <c r="H54" s="22"/>
      <c r="I54" s="22"/>
      <c r="J54" s="22"/>
      <c r="K54" s="17">
        <f>SUM(Table167[[#This Row],[Challenge 1]:[Challenge 50]])</f>
        <v>0</v>
      </c>
      <c r="L54" s="88">
        <f>SUM(Table167[[#This Row],[Club 1]:[Club 50]])</f>
        <v>0</v>
      </c>
      <c r="M54" s="88">
        <f>SUM(Table167[[#This Row],[Intra-school sports 1]:[Intra-school sports 50]])</f>
        <v>0</v>
      </c>
      <c r="N54" s="88">
        <f>SUM(Table167[[#This Row],[Inter School sports 1]:[Inter School sports 50]])</f>
        <v>0</v>
      </c>
      <c r="O54" s="17">
        <f>COUNTIF(Table167[[#This Row],[Community club (type name of club(s). All clubs will count as ''1'']],"*")</f>
        <v>0</v>
      </c>
      <c r="P54" s="17">
        <f>IF(OR(Table167[[#This Row],[Total Challenges]]&gt;0,Table167[[#This Row],[Total Ex-C Clubs]]&gt;0,Table167[[#This Row],[Total Intra-School Sports]]&gt;0,Table167[[#This Row],[Total Inter-School Sports]]&gt;0,Table167[[#This Row],[Community Clubs]]&gt;0),1,0)</f>
        <v>0</v>
      </c>
      <c r="Q54" s="22"/>
      <c r="R54" s="22"/>
      <c r="S54" s="22"/>
      <c r="T54" s="22"/>
      <c r="U54" s="22"/>
      <c r="V54" s="22"/>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21"/>
    </row>
    <row r="55" spans="1:218" x14ac:dyDescent="0.25">
      <c r="A55" s="22"/>
      <c r="B55" s="22"/>
      <c r="C55" s="22"/>
      <c r="D55" s="22"/>
      <c r="E55" s="22"/>
      <c r="F55" s="22"/>
      <c r="G55" s="22"/>
      <c r="H55" s="22"/>
      <c r="I55" s="22"/>
      <c r="J55" s="22"/>
      <c r="K55" s="17">
        <f>SUM(Table167[[#This Row],[Challenge 1]:[Challenge 50]])</f>
        <v>0</v>
      </c>
      <c r="L55" s="88">
        <f>SUM(Table167[[#This Row],[Club 1]:[Club 50]])</f>
        <v>0</v>
      </c>
      <c r="M55" s="88">
        <f>SUM(Table167[[#This Row],[Intra-school sports 1]:[Intra-school sports 50]])</f>
        <v>0</v>
      </c>
      <c r="N55" s="88">
        <f>SUM(Table167[[#This Row],[Inter School sports 1]:[Inter School sports 50]])</f>
        <v>0</v>
      </c>
      <c r="O55" s="17">
        <f>COUNTIF(Table167[[#This Row],[Community club (type name of club(s). All clubs will count as ''1'']],"*")</f>
        <v>0</v>
      </c>
      <c r="P55" s="17">
        <f>IF(OR(Table167[[#This Row],[Total Challenges]]&gt;0,Table167[[#This Row],[Total Ex-C Clubs]]&gt;0,Table167[[#This Row],[Total Intra-School Sports]]&gt;0,Table167[[#This Row],[Total Inter-School Sports]]&gt;0,Table167[[#This Row],[Community Clubs]]&gt;0),1,0)</f>
        <v>0</v>
      </c>
      <c r="Q55" s="22"/>
      <c r="R55" s="22"/>
      <c r="S55" s="22"/>
      <c r="T55" s="22"/>
      <c r="U55" s="22"/>
      <c r="V55" s="22"/>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21"/>
    </row>
    <row r="56" spans="1:218" x14ac:dyDescent="0.25">
      <c r="A56" s="22"/>
      <c r="B56" s="22"/>
      <c r="C56" s="22"/>
      <c r="D56" s="22"/>
      <c r="E56" s="22"/>
      <c r="F56" s="22"/>
      <c r="G56" s="22"/>
      <c r="H56" s="22"/>
      <c r="I56" s="22"/>
      <c r="J56" s="22"/>
      <c r="K56" s="17">
        <f>SUM(Table167[[#This Row],[Challenge 1]:[Challenge 50]])</f>
        <v>0</v>
      </c>
      <c r="L56" s="88">
        <f>SUM(Table167[[#This Row],[Club 1]:[Club 50]])</f>
        <v>0</v>
      </c>
      <c r="M56" s="88">
        <f>SUM(Table167[[#This Row],[Intra-school sports 1]:[Intra-school sports 50]])</f>
        <v>0</v>
      </c>
      <c r="N56" s="88">
        <f>SUM(Table167[[#This Row],[Inter School sports 1]:[Inter School sports 50]])</f>
        <v>0</v>
      </c>
      <c r="O56" s="17">
        <f>COUNTIF(Table167[[#This Row],[Community club (type name of club(s). All clubs will count as ''1'']],"*")</f>
        <v>0</v>
      </c>
      <c r="P56" s="17">
        <f>IF(OR(Table167[[#This Row],[Total Challenges]]&gt;0,Table167[[#This Row],[Total Ex-C Clubs]]&gt;0,Table167[[#This Row],[Total Intra-School Sports]]&gt;0,Table167[[#This Row],[Total Inter-School Sports]]&gt;0,Table167[[#This Row],[Community Clubs]]&gt;0),1,0)</f>
        <v>0</v>
      </c>
      <c r="Q56" s="22"/>
      <c r="R56" s="22"/>
      <c r="S56" s="22"/>
      <c r="T56" s="22"/>
      <c r="U56" s="22"/>
      <c r="V56" s="22"/>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21"/>
    </row>
    <row r="57" spans="1:218" x14ac:dyDescent="0.25">
      <c r="A57" s="22"/>
      <c r="B57" s="22"/>
      <c r="C57" s="22"/>
      <c r="D57" s="22"/>
      <c r="E57" s="22"/>
      <c r="F57" s="22"/>
      <c r="G57" s="22"/>
      <c r="H57" s="22"/>
      <c r="I57" s="22"/>
      <c r="J57" s="22"/>
      <c r="K57" s="17">
        <f>SUM(Table167[[#This Row],[Challenge 1]:[Challenge 50]])</f>
        <v>0</v>
      </c>
      <c r="L57" s="88">
        <f>SUM(Table167[[#This Row],[Club 1]:[Club 50]])</f>
        <v>0</v>
      </c>
      <c r="M57" s="88">
        <f>SUM(Table167[[#This Row],[Intra-school sports 1]:[Intra-school sports 50]])</f>
        <v>0</v>
      </c>
      <c r="N57" s="88">
        <f>SUM(Table167[[#This Row],[Inter School sports 1]:[Inter School sports 50]])</f>
        <v>0</v>
      </c>
      <c r="O57" s="17">
        <f>COUNTIF(Table167[[#This Row],[Community club (type name of club(s). All clubs will count as ''1'']],"*")</f>
        <v>0</v>
      </c>
      <c r="P57" s="17">
        <f>IF(OR(Table167[[#This Row],[Total Challenges]]&gt;0,Table167[[#This Row],[Total Ex-C Clubs]]&gt;0,Table167[[#This Row],[Total Intra-School Sports]]&gt;0,Table167[[#This Row],[Total Inter-School Sports]]&gt;0,Table167[[#This Row],[Community Clubs]]&gt;0),1,0)</f>
        <v>0</v>
      </c>
      <c r="Q57" s="22"/>
      <c r="R57" s="22"/>
      <c r="S57" s="22"/>
      <c r="T57" s="22"/>
      <c r="U57" s="22"/>
      <c r="V57" s="22"/>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21"/>
    </row>
    <row r="58" spans="1:218" x14ac:dyDescent="0.25">
      <c r="A58" s="22"/>
      <c r="B58" s="22"/>
      <c r="C58" s="22"/>
      <c r="D58" s="22"/>
      <c r="E58" s="22"/>
      <c r="F58" s="22"/>
      <c r="G58" s="22"/>
      <c r="H58" s="22"/>
      <c r="I58" s="22"/>
      <c r="J58" s="22"/>
      <c r="K58" s="17">
        <f>SUM(Table167[[#This Row],[Challenge 1]:[Challenge 50]])</f>
        <v>0</v>
      </c>
      <c r="L58" s="88">
        <f>SUM(Table167[[#This Row],[Club 1]:[Club 50]])</f>
        <v>0</v>
      </c>
      <c r="M58" s="88">
        <f>SUM(Table167[[#This Row],[Intra-school sports 1]:[Intra-school sports 50]])</f>
        <v>0</v>
      </c>
      <c r="N58" s="88">
        <f>SUM(Table167[[#This Row],[Inter School sports 1]:[Inter School sports 50]])</f>
        <v>0</v>
      </c>
      <c r="O58" s="17">
        <f>COUNTIF(Table167[[#This Row],[Community club (type name of club(s). All clubs will count as ''1'']],"*")</f>
        <v>0</v>
      </c>
      <c r="P58" s="17">
        <f>IF(OR(Table167[[#This Row],[Total Challenges]]&gt;0,Table167[[#This Row],[Total Ex-C Clubs]]&gt;0,Table167[[#This Row],[Total Intra-School Sports]]&gt;0,Table167[[#This Row],[Total Inter-School Sports]]&gt;0,Table167[[#This Row],[Community Clubs]]&gt;0),1,0)</f>
        <v>0</v>
      </c>
      <c r="Q58" s="22"/>
      <c r="R58" s="22"/>
      <c r="S58" s="22"/>
      <c r="T58" s="22"/>
      <c r="U58" s="22"/>
      <c r="V58" s="22"/>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21"/>
    </row>
    <row r="59" spans="1:218" x14ac:dyDescent="0.25">
      <c r="A59" s="22"/>
      <c r="B59" s="22"/>
      <c r="C59" s="22"/>
      <c r="D59" s="22"/>
      <c r="E59" s="22"/>
      <c r="F59" s="22"/>
      <c r="G59" s="22"/>
      <c r="H59" s="22"/>
      <c r="I59" s="22"/>
      <c r="J59" s="22"/>
      <c r="K59" s="17">
        <f>SUM(Table167[[#This Row],[Challenge 1]:[Challenge 50]])</f>
        <v>0</v>
      </c>
      <c r="L59" s="88">
        <f>SUM(Table167[[#This Row],[Club 1]:[Club 50]])</f>
        <v>0</v>
      </c>
      <c r="M59" s="88">
        <f>SUM(Table167[[#This Row],[Intra-school sports 1]:[Intra-school sports 50]])</f>
        <v>0</v>
      </c>
      <c r="N59" s="88">
        <f>SUM(Table167[[#This Row],[Inter School sports 1]:[Inter School sports 50]])</f>
        <v>0</v>
      </c>
      <c r="O59" s="17">
        <f>COUNTIF(Table167[[#This Row],[Community club (type name of club(s). All clubs will count as ''1'']],"*")</f>
        <v>0</v>
      </c>
      <c r="P59" s="17">
        <f>IF(OR(Table167[[#This Row],[Total Challenges]]&gt;0,Table167[[#This Row],[Total Ex-C Clubs]]&gt;0,Table167[[#This Row],[Total Intra-School Sports]]&gt;0,Table167[[#This Row],[Total Inter-School Sports]]&gt;0,Table167[[#This Row],[Community Clubs]]&gt;0),1,0)</f>
        <v>0</v>
      </c>
      <c r="Q59" s="22"/>
      <c r="R59" s="22"/>
      <c r="S59" s="22"/>
      <c r="T59" s="22"/>
      <c r="U59" s="22"/>
      <c r="V59" s="22"/>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21"/>
    </row>
    <row r="60" spans="1:218" x14ac:dyDescent="0.25">
      <c r="A60" s="22"/>
      <c r="B60" s="22"/>
      <c r="C60" s="22"/>
      <c r="D60" s="22"/>
      <c r="E60" s="22"/>
      <c r="F60" s="22"/>
      <c r="G60" s="22"/>
      <c r="H60" s="22"/>
      <c r="I60" s="22"/>
      <c r="J60" s="22"/>
      <c r="K60" s="17">
        <f>SUM(Table167[[#This Row],[Challenge 1]:[Challenge 50]])</f>
        <v>0</v>
      </c>
      <c r="L60" s="88">
        <f>SUM(Table167[[#This Row],[Club 1]:[Club 50]])</f>
        <v>0</v>
      </c>
      <c r="M60" s="88">
        <f>SUM(Table167[[#This Row],[Intra-school sports 1]:[Intra-school sports 50]])</f>
        <v>0</v>
      </c>
      <c r="N60" s="88">
        <f>SUM(Table167[[#This Row],[Inter School sports 1]:[Inter School sports 50]])</f>
        <v>0</v>
      </c>
      <c r="O60" s="17">
        <f>COUNTIF(Table167[[#This Row],[Community club (type name of club(s). All clubs will count as ''1'']],"*")</f>
        <v>0</v>
      </c>
      <c r="P60" s="17">
        <f>IF(OR(Table167[[#This Row],[Total Challenges]]&gt;0,Table167[[#This Row],[Total Ex-C Clubs]]&gt;0,Table167[[#This Row],[Total Intra-School Sports]]&gt;0,Table167[[#This Row],[Total Inter-School Sports]]&gt;0,Table167[[#This Row],[Community Clubs]]&gt;0),1,0)</f>
        <v>0</v>
      </c>
      <c r="Q60" s="22"/>
      <c r="R60" s="22"/>
      <c r="S60" s="22"/>
      <c r="T60" s="22"/>
      <c r="U60" s="22"/>
      <c r="V60" s="22"/>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21"/>
    </row>
    <row r="61" spans="1:218" x14ac:dyDescent="0.25">
      <c r="A61" s="22"/>
      <c r="B61" s="22"/>
      <c r="C61" s="22"/>
      <c r="D61" s="22"/>
      <c r="E61" s="22"/>
      <c r="F61" s="22"/>
      <c r="G61" s="22"/>
      <c r="H61" s="22"/>
      <c r="I61" s="22"/>
      <c r="J61" s="22"/>
      <c r="K61" s="17">
        <f>SUM(Table167[[#This Row],[Challenge 1]:[Challenge 50]])</f>
        <v>0</v>
      </c>
      <c r="L61" s="88">
        <f>SUM(Table167[[#This Row],[Club 1]:[Club 50]])</f>
        <v>0</v>
      </c>
      <c r="M61" s="88">
        <f>SUM(Table167[[#This Row],[Intra-school sports 1]:[Intra-school sports 50]])</f>
        <v>0</v>
      </c>
      <c r="N61" s="88">
        <f>SUM(Table167[[#This Row],[Inter School sports 1]:[Inter School sports 50]])</f>
        <v>0</v>
      </c>
      <c r="O61" s="17">
        <f>COUNTIF(Table167[[#This Row],[Community club (type name of club(s). All clubs will count as ''1'']],"*")</f>
        <v>0</v>
      </c>
      <c r="P61" s="17">
        <f>IF(OR(Table167[[#This Row],[Total Challenges]]&gt;0,Table167[[#This Row],[Total Ex-C Clubs]]&gt;0,Table167[[#This Row],[Total Intra-School Sports]]&gt;0,Table167[[#This Row],[Total Inter-School Sports]]&gt;0,Table167[[#This Row],[Community Clubs]]&gt;0),1,0)</f>
        <v>0</v>
      </c>
      <c r="Q61" s="22"/>
      <c r="R61" s="22"/>
      <c r="S61" s="22"/>
      <c r="T61" s="22"/>
      <c r="U61" s="22"/>
      <c r="V61" s="22"/>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21"/>
    </row>
    <row r="62" spans="1:218" x14ac:dyDescent="0.25">
      <c r="A62" s="22"/>
      <c r="B62" s="22"/>
      <c r="C62" s="22"/>
      <c r="D62" s="22"/>
      <c r="E62" s="22"/>
      <c r="F62" s="22"/>
      <c r="G62" s="22"/>
      <c r="H62" s="22"/>
      <c r="I62" s="22"/>
      <c r="J62" s="22"/>
      <c r="K62" s="17">
        <f>SUM(Table167[[#This Row],[Challenge 1]:[Challenge 50]])</f>
        <v>0</v>
      </c>
      <c r="L62" s="88">
        <f>SUM(Table167[[#This Row],[Club 1]:[Club 50]])</f>
        <v>0</v>
      </c>
      <c r="M62" s="88">
        <f>SUM(Table167[[#This Row],[Intra-school sports 1]:[Intra-school sports 50]])</f>
        <v>0</v>
      </c>
      <c r="N62" s="88">
        <f>SUM(Table167[[#This Row],[Inter School sports 1]:[Inter School sports 50]])</f>
        <v>0</v>
      </c>
      <c r="O62" s="17">
        <f>COUNTIF(Table167[[#This Row],[Community club (type name of club(s). All clubs will count as ''1'']],"*")</f>
        <v>0</v>
      </c>
      <c r="P62" s="17">
        <f>IF(OR(Table167[[#This Row],[Total Challenges]]&gt;0,Table167[[#This Row],[Total Ex-C Clubs]]&gt;0,Table167[[#This Row],[Total Intra-School Sports]]&gt;0,Table167[[#This Row],[Total Inter-School Sports]]&gt;0,Table167[[#This Row],[Community Clubs]]&gt;0),1,0)</f>
        <v>0</v>
      </c>
      <c r="Q62" s="22"/>
      <c r="R62" s="22"/>
      <c r="S62" s="22"/>
      <c r="T62" s="22"/>
      <c r="U62" s="22"/>
      <c r="V62" s="22"/>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21"/>
    </row>
    <row r="63" spans="1:218" x14ac:dyDescent="0.25">
      <c r="A63" s="22"/>
      <c r="B63" s="22"/>
      <c r="C63" s="22"/>
      <c r="D63" s="22"/>
      <c r="E63" s="22"/>
      <c r="F63" s="22"/>
      <c r="G63" s="22"/>
      <c r="H63" s="22"/>
      <c r="I63" s="22"/>
      <c r="J63" s="22"/>
      <c r="K63" s="17">
        <f>SUM(Table167[[#This Row],[Challenge 1]:[Challenge 50]])</f>
        <v>0</v>
      </c>
      <c r="L63" s="88">
        <f>SUM(Table167[[#This Row],[Club 1]:[Club 50]])</f>
        <v>0</v>
      </c>
      <c r="M63" s="88">
        <f>SUM(Table167[[#This Row],[Intra-school sports 1]:[Intra-school sports 50]])</f>
        <v>0</v>
      </c>
      <c r="N63" s="88">
        <f>SUM(Table167[[#This Row],[Inter School sports 1]:[Inter School sports 50]])</f>
        <v>0</v>
      </c>
      <c r="O63" s="17">
        <f>COUNTIF(Table167[[#This Row],[Community club (type name of club(s). All clubs will count as ''1'']],"*")</f>
        <v>0</v>
      </c>
      <c r="P63" s="17">
        <f>IF(OR(Table167[[#This Row],[Total Challenges]]&gt;0,Table167[[#This Row],[Total Ex-C Clubs]]&gt;0,Table167[[#This Row],[Total Intra-School Sports]]&gt;0,Table167[[#This Row],[Total Inter-School Sports]]&gt;0,Table167[[#This Row],[Community Clubs]]&gt;0),1,0)</f>
        <v>0</v>
      </c>
      <c r="Q63" s="22"/>
      <c r="R63" s="22"/>
      <c r="S63" s="22"/>
      <c r="T63" s="22"/>
      <c r="U63" s="22"/>
      <c r="V63" s="22"/>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21"/>
    </row>
    <row r="64" spans="1:218" x14ac:dyDescent="0.25">
      <c r="A64" s="22"/>
      <c r="B64" s="22"/>
      <c r="C64" s="22"/>
      <c r="D64" s="22"/>
      <c r="E64" s="22"/>
      <c r="F64" s="22"/>
      <c r="G64" s="22"/>
      <c r="H64" s="22"/>
      <c r="I64" s="22"/>
      <c r="J64" s="22"/>
      <c r="K64" s="17">
        <f>SUM(Table167[[#This Row],[Challenge 1]:[Challenge 50]])</f>
        <v>0</v>
      </c>
      <c r="L64" s="88">
        <f>SUM(Table167[[#This Row],[Club 1]:[Club 50]])</f>
        <v>0</v>
      </c>
      <c r="M64" s="88">
        <f>SUM(Table167[[#This Row],[Intra-school sports 1]:[Intra-school sports 50]])</f>
        <v>0</v>
      </c>
      <c r="N64" s="88">
        <f>SUM(Table167[[#This Row],[Inter School sports 1]:[Inter School sports 50]])</f>
        <v>0</v>
      </c>
      <c r="O64" s="17">
        <f>COUNTIF(Table167[[#This Row],[Community club (type name of club(s). All clubs will count as ''1'']],"*")</f>
        <v>0</v>
      </c>
      <c r="P64" s="17">
        <f>IF(OR(Table167[[#This Row],[Total Challenges]]&gt;0,Table167[[#This Row],[Total Ex-C Clubs]]&gt;0,Table167[[#This Row],[Total Intra-School Sports]]&gt;0,Table167[[#This Row],[Total Inter-School Sports]]&gt;0,Table167[[#This Row],[Community Clubs]]&gt;0),1,0)</f>
        <v>0</v>
      </c>
      <c r="Q64" s="22"/>
      <c r="R64" s="22"/>
      <c r="S64" s="22"/>
      <c r="T64" s="22"/>
      <c r="U64" s="22"/>
      <c r="V64" s="22"/>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21"/>
    </row>
    <row r="65" spans="1:218" x14ac:dyDescent="0.25">
      <c r="A65" s="22"/>
      <c r="B65" s="22"/>
      <c r="C65" s="22"/>
      <c r="D65" s="22"/>
      <c r="E65" s="22"/>
      <c r="F65" s="22"/>
      <c r="G65" s="22"/>
      <c r="H65" s="22"/>
      <c r="I65" s="22"/>
      <c r="J65" s="22"/>
      <c r="K65" s="17">
        <f>SUM(Table167[[#This Row],[Challenge 1]:[Challenge 50]])</f>
        <v>0</v>
      </c>
      <c r="L65" s="88">
        <f>SUM(Table167[[#This Row],[Club 1]:[Club 50]])</f>
        <v>0</v>
      </c>
      <c r="M65" s="88">
        <f>SUM(Table167[[#This Row],[Intra-school sports 1]:[Intra-school sports 50]])</f>
        <v>0</v>
      </c>
      <c r="N65" s="88">
        <f>SUM(Table167[[#This Row],[Inter School sports 1]:[Inter School sports 50]])</f>
        <v>0</v>
      </c>
      <c r="O65" s="17">
        <f>COUNTIF(Table167[[#This Row],[Community club (type name of club(s). All clubs will count as ''1'']],"*")</f>
        <v>0</v>
      </c>
      <c r="P65" s="17">
        <f>IF(OR(Table167[[#This Row],[Total Challenges]]&gt;0,Table167[[#This Row],[Total Ex-C Clubs]]&gt;0,Table167[[#This Row],[Total Intra-School Sports]]&gt;0,Table167[[#This Row],[Total Inter-School Sports]]&gt;0,Table167[[#This Row],[Community Clubs]]&gt;0),1,0)</f>
        <v>0</v>
      </c>
      <c r="Q65" s="22"/>
      <c r="R65" s="22"/>
      <c r="S65" s="22"/>
      <c r="T65" s="22"/>
      <c r="U65" s="22"/>
      <c r="V65" s="22"/>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21"/>
    </row>
    <row r="66" spans="1:218" x14ac:dyDescent="0.25">
      <c r="A66" s="22"/>
      <c r="B66" s="22"/>
      <c r="C66" s="22"/>
      <c r="D66" s="22"/>
      <c r="E66" s="22"/>
      <c r="F66" s="22"/>
      <c r="G66" s="22"/>
      <c r="H66" s="22"/>
      <c r="I66" s="22"/>
      <c r="J66" s="22"/>
      <c r="K66" s="17">
        <f>SUM(Table167[[#This Row],[Challenge 1]:[Challenge 50]])</f>
        <v>0</v>
      </c>
      <c r="L66" s="88">
        <f>SUM(Table167[[#This Row],[Club 1]:[Club 50]])</f>
        <v>0</v>
      </c>
      <c r="M66" s="88">
        <f>SUM(Table167[[#This Row],[Intra-school sports 1]:[Intra-school sports 50]])</f>
        <v>0</v>
      </c>
      <c r="N66" s="88">
        <f>SUM(Table167[[#This Row],[Inter School sports 1]:[Inter School sports 50]])</f>
        <v>0</v>
      </c>
      <c r="O66" s="17">
        <f>COUNTIF(Table167[[#This Row],[Community club (type name of club(s). All clubs will count as ''1'']],"*")</f>
        <v>0</v>
      </c>
      <c r="P66" s="17">
        <f>IF(OR(Table167[[#This Row],[Total Challenges]]&gt;0,Table167[[#This Row],[Total Ex-C Clubs]]&gt;0,Table167[[#This Row],[Total Intra-School Sports]]&gt;0,Table167[[#This Row],[Total Inter-School Sports]]&gt;0,Table167[[#This Row],[Community Clubs]]&gt;0),1,0)</f>
        <v>0</v>
      </c>
      <c r="Q66" s="22"/>
      <c r="R66" s="22"/>
      <c r="S66" s="22"/>
      <c r="T66" s="22"/>
      <c r="U66" s="22"/>
      <c r="V66" s="22"/>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21"/>
    </row>
    <row r="67" spans="1:218" x14ac:dyDescent="0.25">
      <c r="A67" s="22"/>
      <c r="B67" s="22"/>
      <c r="C67" s="22"/>
      <c r="D67" s="22"/>
      <c r="E67" s="22"/>
      <c r="F67" s="22"/>
      <c r="G67" s="22"/>
      <c r="H67" s="22"/>
      <c r="I67" s="22"/>
      <c r="J67" s="22"/>
      <c r="K67" s="17">
        <f>SUM(Table167[[#This Row],[Challenge 1]:[Challenge 50]])</f>
        <v>0</v>
      </c>
      <c r="L67" s="88">
        <f>SUM(Table167[[#This Row],[Club 1]:[Club 50]])</f>
        <v>0</v>
      </c>
      <c r="M67" s="88">
        <f>SUM(Table167[[#This Row],[Intra-school sports 1]:[Intra-school sports 50]])</f>
        <v>0</v>
      </c>
      <c r="N67" s="88">
        <f>SUM(Table167[[#This Row],[Inter School sports 1]:[Inter School sports 50]])</f>
        <v>0</v>
      </c>
      <c r="O67" s="17">
        <f>COUNTIF(Table167[[#This Row],[Community club (type name of club(s). All clubs will count as ''1'']],"*")</f>
        <v>0</v>
      </c>
      <c r="P67" s="17">
        <f>IF(OR(Table167[[#This Row],[Total Challenges]]&gt;0,Table167[[#This Row],[Total Ex-C Clubs]]&gt;0,Table167[[#This Row],[Total Intra-School Sports]]&gt;0,Table167[[#This Row],[Total Inter-School Sports]]&gt;0,Table167[[#This Row],[Community Clubs]]&gt;0),1,0)</f>
        <v>0</v>
      </c>
      <c r="Q67" s="22"/>
      <c r="R67" s="22"/>
      <c r="S67" s="22"/>
      <c r="T67" s="22"/>
      <c r="U67" s="22"/>
      <c r="V67" s="22"/>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21"/>
    </row>
    <row r="68" spans="1:218" x14ac:dyDescent="0.25">
      <c r="A68" s="22"/>
      <c r="B68" s="22"/>
      <c r="C68" s="22"/>
      <c r="D68" s="22"/>
      <c r="E68" s="22"/>
      <c r="F68" s="22"/>
      <c r="G68" s="22"/>
      <c r="H68" s="22"/>
      <c r="I68" s="22"/>
      <c r="J68" s="22"/>
      <c r="K68" s="17">
        <f>SUM(Table167[[#This Row],[Challenge 1]:[Challenge 50]])</f>
        <v>0</v>
      </c>
      <c r="L68" s="88">
        <f>SUM(Table167[[#This Row],[Club 1]:[Club 50]])</f>
        <v>0</v>
      </c>
      <c r="M68" s="88">
        <f>SUM(Table167[[#This Row],[Intra-school sports 1]:[Intra-school sports 50]])</f>
        <v>0</v>
      </c>
      <c r="N68" s="88">
        <f>SUM(Table167[[#This Row],[Inter School sports 1]:[Inter School sports 50]])</f>
        <v>0</v>
      </c>
      <c r="O68" s="17">
        <f>COUNTIF(Table167[[#This Row],[Community club (type name of club(s). All clubs will count as ''1'']],"*")</f>
        <v>0</v>
      </c>
      <c r="P68" s="17">
        <f>IF(OR(Table167[[#This Row],[Total Challenges]]&gt;0,Table167[[#This Row],[Total Ex-C Clubs]]&gt;0,Table167[[#This Row],[Total Intra-School Sports]]&gt;0,Table167[[#This Row],[Total Inter-School Sports]]&gt;0,Table167[[#This Row],[Community Clubs]]&gt;0),1,0)</f>
        <v>0</v>
      </c>
      <c r="Q68" s="22"/>
      <c r="R68" s="22"/>
      <c r="S68" s="22"/>
      <c r="T68" s="22"/>
      <c r="U68" s="22"/>
      <c r="V68" s="22"/>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21"/>
    </row>
    <row r="69" spans="1:218" x14ac:dyDescent="0.25">
      <c r="A69" s="22"/>
      <c r="B69" s="22"/>
      <c r="C69" s="22"/>
      <c r="D69" s="22"/>
      <c r="E69" s="22"/>
      <c r="F69" s="22"/>
      <c r="G69" s="22"/>
      <c r="H69" s="22"/>
      <c r="I69" s="22"/>
      <c r="J69" s="22"/>
      <c r="K69" s="17">
        <f>SUM(Table167[[#This Row],[Challenge 1]:[Challenge 50]])</f>
        <v>0</v>
      </c>
      <c r="L69" s="88">
        <f>SUM(Table167[[#This Row],[Club 1]:[Club 50]])</f>
        <v>0</v>
      </c>
      <c r="M69" s="88">
        <f>SUM(Table167[[#This Row],[Intra-school sports 1]:[Intra-school sports 50]])</f>
        <v>0</v>
      </c>
      <c r="N69" s="88">
        <f>SUM(Table167[[#This Row],[Inter School sports 1]:[Inter School sports 50]])</f>
        <v>0</v>
      </c>
      <c r="O69" s="17">
        <f>COUNTIF(Table167[[#This Row],[Community club (type name of club(s). All clubs will count as ''1'']],"*")</f>
        <v>0</v>
      </c>
      <c r="P69" s="17">
        <f>IF(OR(Table167[[#This Row],[Total Challenges]]&gt;0,Table167[[#This Row],[Total Ex-C Clubs]]&gt;0,Table167[[#This Row],[Total Intra-School Sports]]&gt;0,Table167[[#This Row],[Total Inter-School Sports]]&gt;0,Table167[[#This Row],[Community Clubs]]&gt;0),1,0)</f>
        <v>0</v>
      </c>
      <c r="Q69" s="22"/>
      <c r="R69" s="22"/>
      <c r="S69" s="22"/>
      <c r="T69" s="22"/>
      <c r="U69" s="22"/>
      <c r="V69" s="22"/>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21"/>
    </row>
    <row r="70" spans="1:218" x14ac:dyDescent="0.25">
      <c r="A70" s="22"/>
      <c r="B70" s="22"/>
      <c r="C70" s="22"/>
      <c r="D70" s="22"/>
      <c r="E70" s="22"/>
      <c r="F70" s="22"/>
      <c r="G70" s="22"/>
      <c r="H70" s="22"/>
      <c r="I70" s="22"/>
      <c r="J70" s="22"/>
      <c r="K70" s="17">
        <f>SUM(Table167[[#This Row],[Challenge 1]:[Challenge 50]])</f>
        <v>0</v>
      </c>
      <c r="L70" s="88">
        <f>SUM(Table167[[#This Row],[Club 1]:[Club 50]])</f>
        <v>0</v>
      </c>
      <c r="M70" s="88">
        <f>SUM(Table167[[#This Row],[Intra-school sports 1]:[Intra-school sports 50]])</f>
        <v>0</v>
      </c>
      <c r="N70" s="88">
        <f>SUM(Table167[[#This Row],[Inter School sports 1]:[Inter School sports 50]])</f>
        <v>0</v>
      </c>
      <c r="O70" s="17">
        <f>COUNTIF(Table167[[#This Row],[Community club (type name of club(s). All clubs will count as ''1'']],"*")</f>
        <v>0</v>
      </c>
      <c r="P70" s="17">
        <f>IF(OR(Table167[[#This Row],[Total Challenges]]&gt;0,Table167[[#This Row],[Total Ex-C Clubs]]&gt;0,Table167[[#This Row],[Total Intra-School Sports]]&gt;0,Table167[[#This Row],[Total Inter-School Sports]]&gt;0,Table167[[#This Row],[Community Clubs]]&gt;0),1,0)</f>
        <v>0</v>
      </c>
      <c r="Q70" s="22"/>
      <c r="R70" s="22"/>
      <c r="S70" s="22"/>
      <c r="T70" s="22"/>
      <c r="U70" s="22"/>
      <c r="V70" s="22"/>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21"/>
    </row>
    <row r="71" spans="1:218" x14ac:dyDescent="0.25">
      <c r="A71" s="22"/>
      <c r="B71" s="22"/>
      <c r="C71" s="22"/>
      <c r="D71" s="22"/>
      <c r="E71" s="22"/>
      <c r="F71" s="22"/>
      <c r="G71" s="22"/>
      <c r="H71" s="22"/>
      <c r="I71" s="22"/>
      <c r="J71" s="22"/>
      <c r="K71" s="17">
        <f>SUM(Table167[[#This Row],[Challenge 1]:[Challenge 50]])</f>
        <v>0</v>
      </c>
      <c r="L71" s="88">
        <f>SUM(Table167[[#This Row],[Club 1]:[Club 50]])</f>
        <v>0</v>
      </c>
      <c r="M71" s="88">
        <f>SUM(Table167[[#This Row],[Intra-school sports 1]:[Intra-school sports 50]])</f>
        <v>0</v>
      </c>
      <c r="N71" s="88">
        <f>SUM(Table167[[#This Row],[Inter School sports 1]:[Inter School sports 50]])</f>
        <v>0</v>
      </c>
      <c r="O71" s="17">
        <f>COUNTIF(Table167[[#This Row],[Community club (type name of club(s). All clubs will count as ''1'']],"*")</f>
        <v>0</v>
      </c>
      <c r="P71" s="17">
        <f>IF(OR(Table167[[#This Row],[Total Challenges]]&gt;0,Table167[[#This Row],[Total Ex-C Clubs]]&gt;0,Table167[[#This Row],[Total Intra-School Sports]]&gt;0,Table167[[#This Row],[Total Inter-School Sports]]&gt;0,Table167[[#This Row],[Community Clubs]]&gt;0),1,0)</f>
        <v>0</v>
      </c>
      <c r="Q71" s="22"/>
      <c r="R71" s="22"/>
      <c r="S71" s="22"/>
      <c r="T71" s="22"/>
      <c r="U71" s="22"/>
      <c r="V71" s="22"/>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21"/>
    </row>
    <row r="72" spans="1:218" x14ac:dyDescent="0.25">
      <c r="A72" s="22"/>
      <c r="B72" s="22"/>
      <c r="C72" s="22"/>
      <c r="D72" s="22"/>
      <c r="E72" s="22"/>
      <c r="F72" s="22"/>
      <c r="G72" s="22"/>
      <c r="H72" s="22"/>
      <c r="I72" s="22"/>
      <c r="J72" s="22"/>
      <c r="K72" s="17">
        <f>SUM(Table167[[#This Row],[Challenge 1]:[Challenge 50]])</f>
        <v>0</v>
      </c>
      <c r="L72" s="88">
        <f>SUM(Table167[[#This Row],[Club 1]:[Club 50]])</f>
        <v>0</v>
      </c>
      <c r="M72" s="88">
        <f>SUM(Table167[[#This Row],[Intra-school sports 1]:[Intra-school sports 50]])</f>
        <v>0</v>
      </c>
      <c r="N72" s="88">
        <f>SUM(Table167[[#This Row],[Inter School sports 1]:[Inter School sports 50]])</f>
        <v>0</v>
      </c>
      <c r="O72" s="17">
        <f>COUNTIF(Table167[[#This Row],[Community club (type name of club(s). All clubs will count as ''1'']],"*")</f>
        <v>0</v>
      </c>
      <c r="P72" s="17">
        <f>IF(OR(Table167[[#This Row],[Total Challenges]]&gt;0,Table167[[#This Row],[Total Ex-C Clubs]]&gt;0,Table167[[#This Row],[Total Intra-School Sports]]&gt;0,Table167[[#This Row],[Total Inter-School Sports]]&gt;0,Table167[[#This Row],[Community Clubs]]&gt;0),1,0)</f>
        <v>0</v>
      </c>
      <c r="Q72" s="22"/>
      <c r="R72" s="22"/>
      <c r="S72" s="22"/>
      <c r="T72" s="22"/>
      <c r="U72" s="22"/>
      <c r="V72" s="22"/>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21"/>
    </row>
    <row r="73" spans="1:218" x14ac:dyDescent="0.25">
      <c r="A73" s="22"/>
      <c r="B73" s="22"/>
      <c r="C73" s="22"/>
      <c r="D73" s="22"/>
      <c r="E73" s="22"/>
      <c r="F73" s="22"/>
      <c r="G73" s="22"/>
      <c r="H73" s="22"/>
      <c r="I73" s="22"/>
      <c r="J73" s="22"/>
      <c r="K73" s="17">
        <f>SUM(Table167[[#This Row],[Challenge 1]:[Challenge 50]])</f>
        <v>0</v>
      </c>
      <c r="L73" s="88">
        <f>SUM(Table167[[#This Row],[Club 1]:[Club 50]])</f>
        <v>0</v>
      </c>
      <c r="M73" s="88">
        <f>SUM(Table167[[#This Row],[Intra-school sports 1]:[Intra-school sports 50]])</f>
        <v>0</v>
      </c>
      <c r="N73" s="88">
        <f>SUM(Table167[[#This Row],[Inter School sports 1]:[Inter School sports 50]])</f>
        <v>0</v>
      </c>
      <c r="O73" s="17">
        <f>COUNTIF(Table167[[#This Row],[Community club (type name of club(s). All clubs will count as ''1'']],"*")</f>
        <v>0</v>
      </c>
      <c r="P73" s="17">
        <f>IF(OR(Table167[[#This Row],[Total Challenges]]&gt;0,Table167[[#This Row],[Total Ex-C Clubs]]&gt;0,Table167[[#This Row],[Total Intra-School Sports]]&gt;0,Table167[[#This Row],[Total Inter-School Sports]]&gt;0,Table167[[#This Row],[Community Clubs]]&gt;0),1,0)</f>
        <v>0</v>
      </c>
      <c r="Q73" s="22"/>
      <c r="R73" s="22"/>
      <c r="S73" s="22"/>
      <c r="T73" s="22"/>
      <c r="U73" s="22"/>
      <c r="V73" s="22"/>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21"/>
    </row>
    <row r="74" spans="1:218" x14ac:dyDescent="0.25">
      <c r="A74" s="22"/>
      <c r="B74" s="22"/>
      <c r="C74" s="22"/>
      <c r="D74" s="22"/>
      <c r="E74" s="22"/>
      <c r="F74" s="22"/>
      <c r="G74" s="22"/>
      <c r="H74" s="22"/>
      <c r="I74" s="22"/>
      <c r="J74" s="22"/>
      <c r="K74" s="17">
        <f>SUM(Table167[[#This Row],[Challenge 1]:[Challenge 50]])</f>
        <v>0</v>
      </c>
      <c r="L74" s="88">
        <f>SUM(Table167[[#This Row],[Club 1]:[Club 50]])</f>
        <v>0</v>
      </c>
      <c r="M74" s="88">
        <f>SUM(Table167[[#This Row],[Intra-school sports 1]:[Intra-school sports 50]])</f>
        <v>0</v>
      </c>
      <c r="N74" s="88">
        <f>SUM(Table167[[#This Row],[Inter School sports 1]:[Inter School sports 50]])</f>
        <v>0</v>
      </c>
      <c r="O74" s="17">
        <f>COUNTIF(Table167[[#This Row],[Community club (type name of club(s). All clubs will count as ''1'']],"*")</f>
        <v>0</v>
      </c>
      <c r="P74" s="17">
        <f>IF(OR(Table167[[#This Row],[Total Challenges]]&gt;0,Table167[[#This Row],[Total Ex-C Clubs]]&gt;0,Table167[[#This Row],[Total Intra-School Sports]]&gt;0,Table167[[#This Row],[Total Inter-School Sports]]&gt;0,Table167[[#This Row],[Community Clubs]]&gt;0),1,0)</f>
        <v>0</v>
      </c>
      <c r="Q74" s="22"/>
      <c r="R74" s="22"/>
      <c r="S74" s="22"/>
      <c r="T74" s="22"/>
      <c r="U74" s="22"/>
      <c r="V74" s="22"/>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21"/>
    </row>
    <row r="75" spans="1:218" x14ac:dyDescent="0.25">
      <c r="A75" s="22"/>
      <c r="B75" s="22"/>
      <c r="C75" s="22"/>
      <c r="D75" s="22"/>
      <c r="E75" s="22"/>
      <c r="F75" s="22"/>
      <c r="G75" s="22"/>
      <c r="H75" s="22"/>
      <c r="I75" s="22"/>
      <c r="J75" s="22"/>
      <c r="K75" s="17">
        <f>SUM(Table167[[#This Row],[Challenge 1]:[Challenge 50]])</f>
        <v>0</v>
      </c>
      <c r="L75" s="88">
        <f>SUM(Table167[[#This Row],[Club 1]:[Club 50]])</f>
        <v>0</v>
      </c>
      <c r="M75" s="88">
        <f>SUM(Table167[[#This Row],[Intra-school sports 1]:[Intra-school sports 50]])</f>
        <v>0</v>
      </c>
      <c r="N75" s="88">
        <f>SUM(Table167[[#This Row],[Inter School sports 1]:[Inter School sports 50]])</f>
        <v>0</v>
      </c>
      <c r="O75" s="17">
        <f>COUNTIF(Table167[[#This Row],[Community club (type name of club(s). All clubs will count as ''1'']],"*")</f>
        <v>0</v>
      </c>
      <c r="P75" s="17">
        <f>IF(OR(Table167[[#This Row],[Total Challenges]]&gt;0,Table167[[#This Row],[Total Ex-C Clubs]]&gt;0,Table167[[#This Row],[Total Intra-School Sports]]&gt;0,Table167[[#This Row],[Total Inter-School Sports]]&gt;0,Table167[[#This Row],[Community Clubs]]&gt;0),1,0)</f>
        <v>0</v>
      </c>
      <c r="Q75" s="22"/>
      <c r="R75" s="22"/>
      <c r="S75" s="22"/>
      <c r="T75" s="22"/>
      <c r="U75" s="22"/>
      <c r="V75" s="22"/>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21"/>
    </row>
    <row r="76" spans="1:218" x14ac:dyDescent="0.25">
      <c r="A76" s="22"/>
      <c r="B76" s="22"/>
      <c r="C76" s="22"/>
      <c r="D76" s="22"/>
      <c r="E76" s="22"/>
      <c r="F76" s="22"/>
      <c r="G76" s="22"/>
      <c r="H76" s="22"/>
      <c r="I76" s="22"/>
      <c r="J76" s="22"/>
      <c r="K76" s="17">
        <f>SUM(Table167[[#This Row],[Challenge 1]:[Challenge 50]])</f>
        <v>0</v>
      </c>
      <c r="L76" s="88">
        <f>SUM(Table167[[#This Row],[Club 1]:[Club 50]])</f>
        <v>0</v>
      </c>
      <c r="M76" s="88">
        <f>SUM(Table167[[#This Row],[Intra-school sports 1]:[Intra-school sports 50]])</f>
        <v>0</v>
      </c>
      <c r="N76" s="88">
        <f>SUM(Table167[[#This Row],[Inter School sports 1]:[Inter School sports 50]])</f>
        <v>0</v>
      </c>
      <c r="O76" s="17">
        <f>COUNTIF(Table167[[#This Row],[Community club (type name of club(s). All clubs will count as ''1'']],"*")</f>
        <v>0</v>
      </c>
      <c r="P76" s="17">
        <f>IF(OR(Table167[[#This Row],[Total Challenges]]&gt;0,Table167[[#This Row],[Total Ex-C Clubs]]&gt;0,Table167[[#This Row],[Total Intra-School Sports]]&gt;0,Table167[[#This Row],[Total Inter-School Sports]]&gt;0,Table167[[#This Row],[Community Clubs]]&gt;0),1,0)</f>
        <v>0</v>
      </c>
      <c r="Q76" s="22"/>
      <c r="R76" s="22"/>
      <c r="S76" s="22"/>
      <c r="T76" s="22"/>
      <c r="U76" s="22"/>
      <c r="V76" s="22"/>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21"/>
    </row>
    <row r="77" spans="1:218" x14ac:dyDescent="0.25">
      <c r="A77" s="22"/>
      <c r="B77" s="22"/>
      <c r="C77" s="22"/>
      <c r="D77" s="22"/>
      <c r="E77" s="22"/>
      <c r="F77" s="22"/>
      <c r="G77" s="22"/>
      <c r="H77" s="22"/>
      <c r="I77" s="22"/>
      <c r="J77" s="22"/>
      <c r="K77" s="17">
        <f>SUM(Table167[[#This Row],[Challenge 1]:[Challenge 50]])</f>
        <v>0</v>
      </c>
      <c r="L77" s="88">
        <f>SUM(Table167[[#This Row],[Club 1]:[Club 50]])</f>
        <v>0</v>
      </c>
      <c r="M77" s="88">
        <f>SUM(Table167[[#This Row],[Intra-school sports 1]:[Intra-school sports 50]])</f>
        <v>0</v>
      </c>
      <c r="N77" s="88">
        <f>SUM(Table167[[#This Row],[Inter School sports 1]:[Inter School sports 50]])</f>
        <v>0</v>
      </c>
      <c r="O77" s="17">
        <f>COUNTIF(Table167[[#This Row],[Community club (type name of club(s). All clubs will count as ''1'']],"*")</f>
        <v>0</v>
      </c>
      <c r="P77" s="17">
        <f>IF(OR(Table167[[#This Row],[Total Challenges]]&gt;0,Table167[[#This Row],[Total Ex-C Clubs]]&gt;0,Table167[[#This Row],[Total Intra-School Sports]]&gt;0,Table167[[#This Row],[Total Inter-School Sports]]&gt;0,Table167[[#This Row],[Community Clubs]]&gt;0),1,0)</f>
        <v>0</v>
      </c>
      <c r="Q77" s="22"/>
      <c r="R77" s="22"/>
      <c r="S77" s="22"/>
      <c r="T77" s="22"/>
      <c r="U77" s="22"/>
      <c r="V77" s="22"/>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21"/>
    </row>
    <row r="78" spans="1:218" x14ac:dyDescent="0.25">
      <c r="A78" s="22"/>
      <c r="B78" s="22"/>
      <c r="C78" s="22"/>
      <c r="D78" s="22"/>
      <c r="E78" s="22"/>
      <c r="F78" s="22"/>
      <c r="G78" s="22"/>
      <c r="H78" s="22"/>
      <c r="I78" s="22"/>
      <c r="J78" s="22"/>
      <c r="K78" s="17">
        <f>SUM(Table167[[#This Row],[Challenge 1]:[Challenge 50]])</f>
        <v>0</v>
      </c>
      <c r="L78" s="88">
        <f>SUM(Table167[[#This Row],[Club 1]:[Club 50]])</f>
        <v>0</v>
      </c>
      <c r="M78" s="88">
        <f>SUM(Table167[[#This Row],[Intra-school sports 1]:[Intra-school sports 50]])</f>
        <v>0</v>
      </c>
      <c r="N78" s="88">
        <f>SUM(Table167[[#This Row],[Inter School sports 1]:[Inter School sports 50]])</f>
        <v>0</v>
      </c>
      <c r="O78" s="17">
        <f>COUNTIF(Table167[[#This Row],[Community club (type name of club(s). All clubs will count as ''1'']],"*")</f>
        <v>0</v>
      </c>
      <c r="P78" s="17">
        <f>IF(OR(Table167[[#This Row],[Total Challenges]]&gt;0,Table167[[#This Row],[Total Ex-C Clubs]]&gt;0,Table167[[#This Row],[Total Intra-School Sports]]&gt;0,Table167[[#This Row],[Total Inter-School Sports]]&gt;0,Table167[[#This Row],[Community Clubs]]&gt;0),1,0)</f>
        <v>0</v>
      </c>
      <c r="Q78" s="22"/>
      <c r="R78" s="22"/>
      <c r="S78" s="22"/>
      <c r="T78" s="22"/>
      <c r="U78" s="22"/>
      <c r="V78" s="22"/>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21"/>
    </row>
    <row r="79" spans="1:218" x14ac:dyDescent="0.25">
      <c r="A79" s="22"/>
      <c r="B79" s="22"/>
      <c r="C79" s="22"/>
      <c r="D79" s="22"/>
      <c r="E79" s="22"/>
      <c r="F79" s="22"/>
      <c r="G79" s="22"/>
      <c r="H79" s="22"/>
      <c r="I79" s="22"/>
      <c r="J79" s="22"/>
      <c r="K79" s="17">
        <f>SUM(Table167[[#This Row],[Challenge 1]:[Challenge 50]])</f>
        <v>0</v>
      </c>
      <c r="L79" s="88">
        <f>SUM(Table167[[#This Row],[Club 1]:[Club 50]])</f>
        <v>0</v>
      </c>
      <c r="M79" s="88">
        <f>SUM(Table167[[#This Row],[Intra-school sports 1]:[Intra-school sports 50]])</f>
        <v>0</v>
      </c>
      <c r="N79" s="88">
        <f>SUM(Table167[[#This Row],[Inter School sports 1]:[Inter School sports 50]])</f>
        <v>0</v>
      </c>
      <c r="O79" s="17">
        <f>COUNTIF(Table167[[#This Row],[Community club (type name of club(s). All clubs will count as ''1'']],"*")</f>
        <v>0</v>
      </c>
      <c r="P79" s="17">
        <f>IF(OR(Table167[[#This Row],[Total Challenges]]&gt;0,Table167[[#This Row],[Total Ex-C Clubs]]&gt;0,Table167[[#This Row],[Total Intra-School Sports]]&gt;0,Table167[[#This Row],[Total Inter-School Sports]]&gt;0,Table167[[#This Row],[Community Clubs]]&gt;0),1,0)</f>
        <v>0</v>
      </c>
      <c r="Q79" s="22"/>
      <c r="R79" s="22"/>
      <c r="S79" s="22"/>
      <c r="T79" s="22"/>
      <c r="U79" s="22"/>
      <c r="V79" s="22"/>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21"/>
    </row>
    <row r="80" spans="1:218" x14ac:dyDescent="0.25">
      <c r="A80" s="22"/>
      <c r="B80" s="22"/>
      <c r="C80" s="22"/>
      <c r="D80" s="22"/>
      <c r="E80" s="22"/>
      <c r="F80" s="22"/>
      <c r="G80" s="22"/>
      <c r="H80" s="22"/>
      <c r="I80" s="22"/>
      <c r="J80" s="22"/>
      <c r="K80" s="17">
        <f>SUM(Table167[[#This Row],[Challenge 1]:[Challenge 50]])</f>
        <v>0</v>
      </c>
      <c r="L80" s="88">
        <f>SUM(Table167[[#This Row],[Club 1]:[Club 50]])</f>
        <v>0</v>
      </c>
      <c r="M80" s="88">
        <f>SUM(Table167[[#This Row],[Intra-school sports 1]:[Intra-school sports 50]])</f>
        <v>0</v>
      </c>
      <c r="N80" s="88">
        <f>SUM(Table167[[#This Row],[Inter School sports 1]:[Inter School sports 50]])</f>
        <v>0</v>
      </c>
      <c r="O80" s="17">
        <f>COUNTIF(Table167[[#This Row],[Community club (type name of club(s). All clubs will count as ''1'']],"*")</f>
        <v>0</v>
      </c>
      <c r="P80" s="17">
        <f>IF(OR(Table167[[#This Row],[Total Challenges]]&gt;0,Table167[[#This Row],[Total Ex-C Clubs]]&gt;0,Table167[[#This Row],[Total Intra-School Sports]]&gt;0,Table167[[#This Row],[Total Inter-School Sports]]&gt;0,Table167[[#This Row],[Community Clubs]]&gt;0),1,0)</f>
        <v>0</v>
      </c>
      <c r="Q80" s="22"/>
      <c r="R80" s="22"/>
      <c r="S80" s="22"/>
      <c r="T80" s="22"/>
      <c r="U80" s="22"/>
      <c r="V80" s="22"/>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21"/>
    </row>
    <row r="81" spans="1:218" x14ac:dyDescent="0.25">
      <c r="A81" s="22"/>
      <c r="B81" s="22"/>
      <c r="C81" s="22"/>
      <c r="D81" s="22"/>
      <c r="E81" s="22"/>
      <c r="F81" s="22"/>
      <c r="G81" s="22"/>
      <c r="H81" s="22"/>
      <c r="I81" s="22"/>
      <c r="J81" s="22"/>
      <c r="K81" s="17">
        <f>SUM(Table167[[#This Row],[Challenge 1]:[Challenge 50]])</f>
        <v>0</v>
      </c>
      <c r="L81" s="88">
        <f>SUM(Table167[[#This Row],[Club 1]:[Club 50]])</f>
        <v>0</v>
      </c>
      <c r="M81" s="88">
        <f>SUM(Table167[[#This Row],[Intra-school sports 1]:[Intra-school sports 50]])</f>
        <v>0</v>
      </c>
      <c r="N81" s="88">
        <f>SUM(Table167[[#This Row],[Inter School sports 1]:[Inter School sports 50]])</f>
        <v>0</v>
      </c>
      <c r="O81" s="17">
        <f>COUNTIF(Table167[[#This Row],[Community club (type name of club(s). All clubs will count as ''1'']],"*")</f>
        <v>0</v>
      </c>
      <c r="P81" s="17">
        <f>IF(OR(Table167[[#This Row],[Total Challenges]]&gt;0,Table167[[#This Row],[Total Ex-C Clubs]]&gt;0,Table167[[#This Row],[Total Intra-School Sports]]&gt;0,Table167[[#This Row],[Total Inter-School Sports]]&gt;0,Table167[[#This Row],[Community Clubs]]&gt;0),1,0)</f>
        <v>0</v>
      </c>
      <c r="Q81" s="22"/>
      <c r="R81" s="22"/>
      <c r="S81" s="22"/>
      <c r="T81" s="22"/>
      <c r="U81" s="22"/>
      <c r="V81" s="22"/>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21"/>
    </row>
    <row r="82" spans="1:218" x14ac:dyDescent="0.25">
      <c r="A82" s="22"/>
      <c r="B82" s="22"/>
      <c r="C82" s="22"/>
      <c r="D82" s="22"/>
      <c r="E82" s="22"/>
      <c r="F82" s="22"/>
      <c r="G82" s="22"/>
      <c r="H82" s="22"/>
      <c r="I82" s="22"/>
      <c r="J82" s="22"/>
      <c r="K82" s="17">
        <f>SUM(Table167[[#This Row],[Challenge 1]:[Challenge 50]])</f>
        <v>0</v>
      </c>
      <c r="L82" s="88">
        <f>SUM(Table167[[#This Row],[Club 1]:[Club 50]])</f>
        <v>0</v>
      </c>
      <c r="M82" s="88">
        <f>SUM(Table167[[#This Row],[Intra-school sports 1]:[Intra-school sports 50]])</f>
        <v>0</v>
      </c>
      <c r="N82" s="88">
        <f>SUM(Table167[[#This Row],[Inter School sports 1]:[Inter School sports 50]])</f>
        <v>0</v>
      </c>
      <c r="O82" s="17">
        <f>COUNTIF(Table167[[#This Row],[Community club (type name of club(s). All clubs will count as ''1'']],"*")</f>
        <v>0</v>
      </c>
      <c r="P82" s="17">
        <f>IF(OR(Table167[[#This Row],[Total Challenges]]&gt;0,Table167[[#This Row],[Total Ex-C Clubs]]&gt;0,Table167[[#This Row],[Total Intra-School Sports]]&gt;0,Table167[[#This Row],[Total Inter-School Sports]]&gt;0,Table167[[#This Row],[Community Clubs]]&gt;0),1,0)</f>
        <v>0</v>
      </c>
      <c r="Q82" s="22"/>
      <c r="R82" s="22"/>
      <c r="S82" s="22"/>
      <c r="T82" s="22"/>
      <c r="U82" s="22"/>
      <c r="V82" s="22"/>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21"/>
    </row>
    <row r="83" spans="1:218" x14ac:dyDescent="0.25">
      <c r="A83" s="22"/>
      <c r="B83" s="22"/>
      <c r="C83" s="22"/>
      <c r="D83" s="22"/>
      <c r="E83" s="22"/>
      <c r="F83" s="22"/>
      <c r="G83" s="22"/>
      <c r="H83" s="22"/>
      <c r="I83" s="22"/>
      <c r="J83" s="22"/>
      <c r="K83" s="17">
        <f>SUM(Table167[[#This Row],[Challenge 1]:[Challenge 50]])</f>
        <v>0</v>
      </c>
      <c r="L83" s="88">
        <f>SUM(Table167[[#This Row],[Club 1]:[Club 50]])</f>
        <v>0</v>
      </c>
      <c r="M83" s="88">
        <f>SUM(Table167[[#This Row],[Intra-school sports 1]:[Intra-school sports 50]])</f>
        <v>0</v>
      </c>
      <c r="N83" s="88">
        <f>SUM(Table167[[#This Row],[Inter School sports 1]:[Inter School sports 50]])</f>
        <v>0</v>
      </c>
      <c r="O83" s="17">
        <f>COUNTIF(Table167[[#This Row],[Community club (type name of club(s). All clubs will count as ''1'']],"*")</f>
        <v>0</v>
      </c>
      <c r="P83" s="17">
        <f>IF(OR(Table167[[#This Row],[Total Challenges]]&gt;0,Table167[[#This Row],[Total Ex-C Clubs]]&gt;0,Table167[[#This Row],[Total Intra-School Sports]]&gt;0,Table167[[#This Row],[Total Inter-School Sports]]&gt;0,Table167[[#This Row],[Community Clubs]]&gt;0),1,0)</f>
        <v>0</v>
      </c>
      <c r="Q83" s="22"/>
      <c r="R83" s="22"/>
      <c r="S83" s="22"/>
      <c r="T83" s="22"/>
      <c r="U83" s="22"/>
      <c r="V83" s="22"/>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21"/>
    </row>
    <row r="84" spans="1:218" x14ac:dyDescent="0.25">
      <c r="A84" s="22"/>
      <c r="B84" s="22"/>
      <c r="C84" s="22"/>
      <c r="D84" s="22"/>
      <c r="E84" s="22"/>
      <c r="F84" s="22"/>
      <c r="G84" s="22"/>
      <c r="H84" s="22"/>
      <c r="I84" s="22"/>
      <c r="J84" s="22"/>
      <c r="K84" s="17">
        <f>SUM(Table167[[#This Row],[Challenge 1]:[Challenge 50]])</f>
        <v>0</v>
      </c>
      <c r="L84" s="88">
        <f>SUM(Table167[[#This Row],[Club 1]:[Club 50]])</f>
        <v>0</v>
      </c>
      <c r="M84" s="88">
        <f>SUM(Table167[[#This Row],[Intra-school sports 1]:[Intra-school sports 50]])</f>
        <v>0</v>
      </c>
      <c r="N84" s="88">
        <f>SUM(Table167[[#This Row],[Inter School sports 1]:[Inter School sports 50]])</f>
        <v>0</v>
      </c>
      <c r="O84" s="17">
        <f>COUNTIF(Table167[[#This Row],[Community club (type name of club(s). All clubs will count as ''1'']],"*")</f>
        <v>0</v>
      </c>
      <c r="P84" s="17">
        <f>IF(OR(Table167[[#This Row],[Total Challenges]]&gt;0,Table167[[#This Row],[Total Ex-C Clubs]]&gt;0,Table167[[#This Row],[Total Intra-School Sports]]&gt;0,Table167[[#This Row],[Total Inter-School Sports]]&gt;0,Table167[[#This Row],[Community Clubs]]&gt;0),1,0)</f>
        <v>0</v>
      </c>
      <c r="Q84" s="22"/>
      <c r="R84" s="22"/>
      <c r="S84" s="22"/>
      <c r="T84" s="22"/>
      <c r="U84" s="22"/>
      <c r="V84" s="22"/>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21"/>
    </row>
    <row r="85" spans="1:218" x14ac:dyDescent="0.25">
      <c r="A85" s="22"/>
      <c r="B85" s="22"/>
      <c r="C85" s="22"/>
      <c r="D85" s="22"/>
      <c r="E85" s="22"/>
      <c r="F85" s="22"/>
      <c r="G85" s="22"/>
      <c r="H85" s="22"/>
      <c r="I85" s="22"/>
      <c r="J85" s="22"/>
      <c r="K85" s="17">
        <f>SUM(Table167[[#This Row],[Challenge 1]:[Challenge 50]])</f>
        <v>0</v>
      </c>
      <c r="L85" s="88">
        <f>SUM(Table167[[#This Row],[Club 1]:[Club 50]])</f>
        <v>0</v>
      </c>
      <c r="M85" s="88">
        <f>SUM(Table167[[#This Row],[Intra-school sports 1]:[Intra-school sports 50]])</f>
        <v>0</v>
      </c>
      <c r="N85" s="88">
        <f>SUM(Table167[[#This Row],[Inter School sports 1]:[Inter School sports 50]])</f>
        <v>0</v>
      </c>
      <c r="O85" s="17">
        <f>COUNTIF(Table167[[#This Row],[Community club (type name of club(s). All clubs will count as ''1'']],"*")</f>
        <v>0</v>
      </c>
      <c r="P85" s="17">
        <f>IF(OR(Table167[[#This Row],[Total Challenges]]&gt;0,Table167[[#This Row],[Total Ex-C Clubs]]&gt;0,Table167[[#This Row],[Total Intra-School Sports]]&gt;0,Table167[[#This Row],[Total Inter-School Sports]]&gt;0,Table167[[#This Row],[Community Clubs]]&gt;0),1,0)</f>
        <v>0</v>
      </c>
      <c r="Q85" s="22"/>
      <c r="R85" s="22"/>
      <c r="S85" s="22"/>
      <c r="T85" s="22"/>
      <c r="U85" s="22"/>
      <c r="V85" s="22"/>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21"/>
    </row>
    <row r="86" spans="1:218" x14ac:dyDescent="0.25">
      <c r="A86" s="22"/>
      <c r="B86" s="22"/>
      <c r="C86" s="22"/>
      <c r="D86" s="22"/>
      <c r="E86" s="22"/>
      <c r="F86" s="22"/>
      <c r="G86" s="22"/>
      <c r="H86" s="22"/>
      <c r="I86" s="22"/>
      <c r="J86" s="22"/>
      <c r="K86" s="17">
        <f>SUM(Table167[[#This Row],[Challenge 1]:[Challenge 50]])</f>
        <v>0</v>
      </c>
      <c r="L86" s="88">
        <f>SUM(Table167[[#This Row],[Club 1]:[Club 50]])</f>
        <v>0</v>
      </c>
      <c r="M86" s="88">
        <f>SUM(Table167[[#This Row],[Intra-school sports 1]:[Intra-school sports 50]])</f>
        <v>0</v>
      </c>
      <c r="N86" s="88">
        <f>SUM(Table167[[#This Row],[Inter School sports 1]:[Inter School sports 50]])</f>
        <v>0</v>
      </c>
      <c r="O86" s="17">
        <f>COUNTIF(Table167[[#This Row],[Community club (type name of club(s). All clubs will count as ''1'']],"*")</f>
        <v>0</v>
      </c>
      <c r="P86" s="17">
        <f>IF(OR(Table167[[#This Row],[Total Challenges]]&gt;0,Table167[[#This Row],[Total Ex-C Clubs]]&gt;0,Table167[[#This Row],[Total Intra-School Sports]]&gt;0,Table167[[#This Row],[Total Inter-School Sports]]&gt;0,Table167[[#This Row],[Community Clubs]]&gt;0),1,0)</f>
        <v>0</v>
      </c>
      <c r="Q86" s="22"/>
      <c r="R86" s="22"/>
      <c r="S86" s="22"/>
      <c r="T86" s="22"/>
      <c r="U86" s="22"/>
      <c r="V86" s="22"/>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21"/>
    </row>
    <row r="87" spans="1:218" x14ac:dyDescent="0.25">
      <c r="A87" s="22"/>
      <c r="B87" s="22"/>
      <c r="C87" s="22"/>
      <c r="D87" s="22"/>
      <c r="E87" s="22"/>
      <c r="F87" s="22"/>
      <c r="G87" s="22"/>
      <c r="H87" s="22"/>
      <c r="I87" s="22"/>
      <c r="J87" s="22"/>
      <c r="K87" s="17">
        <f>SUM(Table167[[#This Row],[Challenge 1]:[Challenge 50]])</f>
        <v>0</v>
      </c>
      <c r="L87" s="88">
        <f>SUM(Table167[[#This Row],[Club 1]:[Club 50]])</f>
        <v>0</v>
      </c>
      <c r="M87" s="88">
        <f>SUM(Table167[[#This Row],[Intra-school sports 1]:[Intra-school sports 50]])</f>
        <v>0</v>
      </c>
      <c r="N87" s="88">
        <f>SUM(Table167[[#This Row],[Inter School sports 1]:[Inter School sports 50]])</f>
        <v>0</v>
      </c>
      <c r="O87" s="17">
        <f>COUNTIF(Table167[[#This Row],[Community club (type name of club(s). All clubs will count as ''1'']],"*")</f>
        <v>0</v>
      </c>
      <c r="P87" s="17">
        <f>IF(OR(Table167[[#This Row],[Total Challenges]]&gt;0,Table167[[#This Row],[Total Ex-C Clubs]]&gt;0,Table167[[#This Row],[Total Intra-School Sports]]&gt;0,Table167[[#This Row],[Total Inter-School Sports]]&gt;0,Table167[[#This Row],[Community Clubs]]&gt;0),1,0)</f>
        <v>0</v>
      </c>
      <c r="Q87" s="22"/>
      <c r="R87" s="22"/>
      <c r="S87" s="22"/>
      <c r="T87" s="22"/>
      <c r="U87" s="22"/>
      <c r="V87" s="22"/>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21"/>
    </row>
    <row r="88" spans="1:218" x14ac:dyDescent="0.25">
      <c r="A88" s="22"/>
      <c r="B88" s="22"/>
      <c r="C88" s="22"/>
      <c r="D88" s="22"/>
      <c r="E88" s="22"/>
      <c r="F88" s="22"/>
      <c r="G88" s="22"/>
      <c r="H88" s="22"/>
      <c r="I88" s="22"/>
      <c r="J88" s="22"/>
      <c r="K88" s="17">
        <f>SUM(Table167[[#This Row],[Challenge 1]:[Challenge 50]])</f>
        <v>0</v>
      </c>
      <c r="L88" s="88">
        <f>SUM(Table167[[#This Row],[Club 1]:[Club 50]])</f>
        <v>0</v>
      </c>
      <c r="M88" s="88">
        <f>SUM(Table167[[#This Row],[Intra-school sports 1]:[Intra-school sports 50]])</f>
        <v>0</v>
      </c>
      <c r="N88" s="88">
        <f>SUM(Table167[[#This Row],[Inter School sports 1]:[Inter School sports 50]])</f>
        <v>0</v>
      </c>
      <c r="O88" s="17">
        <f>COUNTIF(Table167[[#This Row],[Community club (type name of club(s). All clubs will count as ''1'']],"*")</f>
        <v>0</v>
      </c>
      <c r="P88" s="17">
        <f>IF(OR(Table167[[#This Row],[Total Challenges]]&gt;0,Table167[[#This Row],[Total Ex-C Clubs]]&gt;0,Table167[[#This Row],[Total Intra-School Sports]]&gt;0,Table167[[#This Row],[Total Inter-School Sports]]&gt;0,Table167[[#This Row],[Community Clubs]]&gt;0),1,0)</f>
        <v>0</v>
      </c>
      <c r="Q88" s="22"/>
      <c r="R88" s="22"/>
      <c r="S88" s="22"/>
      <c r="T88" s="22"/>
      <c r="U88" s="22"/>
      <c r="V88" s="22"/>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21"/>
    </row>
    <row r="89" spans="1:218" x14ac:dyDescent="0.25">
      <c r="A89" s="22"/>
      <c r="B89" s="22"/>
      <c r="C89" s="22"/>
      <c r="D89" s="22"/>
      <c r="E89" s="22"/>
      <c r="F89" s="22"/>
      <c r="G89" s="22"/>
      <c r="H89" s="22"/>
      <c r="I89" s="22"/>
      <c r="J89" s="22"/>
      <c r="K89" s="17">
        <f>SUM(Table167[[#This Row],[Challenge 1]:[Challenge 50]])</f>
        <v>0</v>
      </c>
      <c r="L89" s="88">
        <f>SUM(Table167[[#This Row],[Club 1]:[Club 50]])</f>
        <v>0</v>
      </c>
      <c r="M89" s="88">
        <f>SUM(Table167[[#This Row],[Intra-school sports 1]:[Intra-school sports 50]])</f>
        <v>0</v>
      </c>
      <c r="N89" s="88">
        <f>SUM(Table167[[#This Row],[Inter School sports 1]:[Inter School sports 50]])</f>
        <v>0</v>
      </c>
      <c r="O89" s="17">
        <f>COUNTIF(Table167[[#This Row],[Community club (type name of club(s). All clubs will count as ''1'']],"*")</f>
        <v>0</v>
      </c>
      <c r="P89" s="17">
        <f>IF(OR(Table167[[#This Row],[Total Challenges]]&gt;0,Table167[[#This Row],[Total Ex-C Clubs]]&gt;0,Table167[[#This Row],[Total Intra-School Sports]]&gt;0,Table167[[#This Row],[Total Inter-School Sports]]&gt;0,Table167[[#This Row],[Community Clubs]]&gt;0),1,0)</f>
        <v>0</v>
      </c>
      <c r="Q89" s="22"/>
      <c r="R89" s="22"/>
      <c r="S89" s="22"/>
      <c r="T89" s="22"/>
      <c r="U89" s="22"/>
      <c r="V89" s="22"/>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21"/>
    </row>
    <row r="90" spans="1:218" x14ac:dyDescent="0.25">
      <c r="A90" s="22"/>
      <c r="B90" s="22"/>
      <c r="C90" s="22"/>
      <c r="D90" s="22"/>
      <c r="E90" s="22"/>
      <c r="F90" s="22"/>
      <c r="G90" s="22"/>
      <c r="H90" s="22"/>
      <c r="I90" s="22"/>
      <c r="J90" s="22"/>
      <c r="K90" s="17">
        <f>SUM(Table167[[#This Row],[Challenge 1]:[Challenge 50]])</f>
        <v>0</v>
      </c>
      <c r="L90" s="88">
        <f>SUM(Table167[[#This Row],[Club 1]:[Club 50]])</f>
        <v>0</v>
      </c>
      <c r="M90" s="88">
        <f>SUM(Table167[[#This Row],[Intra-school sports 1]:[Intra-school sports 50]])</f>
        <v>0</v>
      </c>
      <c r="N90" s="88">
        <f>SUM(Table167[[#This Row],[Inter School sports 1]:[Inter School sports 50]])</f>
        <v>0</v>
      </c>
      <c r="O90" s="17">
        <f>COUNTIF(Table167[[#This Row],[Community club (type name of club(s). All clubs will count as ''1'']],"*")</f>
        <v>0</v>
      </c>
      <c r="P90" s="17">
        <f>IF(OR(Table167[[#This Row],[Total Challenges]]&gt;0,Table167[[#This Row],[Total Ex-C Clubs]]&gt;0,Table167[[#This Row],[Total Intra-School Sports]]&gt;0,Table167[[#This Row],[Total Inter-School Sports]]&gt;0,Table167[[#This Row],[Community Clubs]]&gt;0),1,0)</f>
        <v>0</v>
      </c>
      <c r="Q90" s="22"/>
      <c r="R90" s="22"/>
      <c r="S90" s="22"/>
      <c r="T90" s="22"/>
      <c r="U90" s="22"/>
      <c r="V90" s="22"/>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21"/>
    </row>
    <row r="91" spans="1:218" x14ac:dyDescent="0.25">
      <c r="A91" s="22"/>
      <c r="B91" s="22"/>
      <c r="C91" s="22"/>
      <c r="D91" s="22"/>
      <c r="E91" s="22"/>
      <c r="F91" s="22"/>
      <c r="G91" s="22"/>
      <c r="H91" s="22"/>
      <c r="I91" s="22"/>
      <c r="J91" s="22"/>
      <c r="K91" s="17">
        <f>SUM(Table167[[#This Row],[Challenge 1]:[Challenge 50]])</f>
        <v>0</v>
      </c>
      <c r="L91" s="88">
        <f>SUM(Table167[[#This Row],[Club 1]:[Club 50]])</f>
        <v>0</v>
      </c>
      <c r="M91" s="88">
        <f>SUM(Table167[[#This Row],[Intra-school sports 1]:[Intra-school sports 50]])</f>
        <v>0</v>
      </c>
      <c r="N91" s="88">
        <f>SUM(Table167[[#This Row],[Inter School sports 1]:[Inter School sports 50]])</f>
        <v>0</v>
      </c>
      <c r="O91" s="17">
        <f>COUNTIF(Table167[[#This Row],[Community club (type name of club(s). All clubs will count as ''1'']],"*")</f>
        <v>0</v>
      </c>
      <c r="P91" s="17">
        <f>IF(OR(Table167[[#This Row],[Total Challenges]]&gt;0,Table167[[#This Row],[Total Ex-C Clubs]]&gt;0,Table167[[#This Row],[Total Intra-School Sports]]&gt;0,Table167[[#This Row],[Total Inter-School Sports]]&gt;0,Table167[[#This Row],[Community Clubs]]&gt;0),1,0)</f>
        <v>0</v>
      </c>
      <c r="Q91" s="22"/>
      <c r="R91" s="22"/>
      <c r="S91" s="22"/>
      <c r="T91" s="22"/>
      <c r="U91" s="22"/>
      <c r="V91" s="22"/>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21"/>
    </row>
    <row r="92" spans="1:218" x14ac:dyDescent="0.25">
      <c r="A92" s="17"/>
      <c r="B92" s="17"/>
      <c r="C92" s="17"/>
      <c r="D92" s="17"/>
      <c r="E92" s="17"/>
      <c r="F92" s="17"/>
      <c r="G92" s="17"/>
      <c r="H92" s="17"/>
      <c r="I92" s="17"/>
      <c r="J92" s="17"/>
      <c r="K92" s="17">
        <f>SUM(Table167[[#This Row],[Challenge 1]:[Challenge 50]])</f>
        <v>0</v>
      </c>
      <c r="L92" s="88">
        <f>SUM(Table167[[#This Row],[Club 1]:[Club 50]])</f>
        <v>0</v>
      </c>
      <c r="M92" s="88">
        <f>SUM(Table167[[#This Row],[Intra-school sports 1]:[Intra-school sports 50]])</f>
        <v>0</v>
      </c>
      <c r="N92" s="88">
        <f>SUM(Table167[[#This Row],[Inter School sports 1]:[Inter School sports 50]])</f>
        <v>0</v>
      </c>
      <c r="O92" s="17">
        <f>COUNTIF(Table167[[#This Row],[Community club (type name of club(s). All clubs will count as ''1'']],"*")</f>
        <v>0</v>
      </c>
      <c r="P92" s="17">
        <f>IF(OR(Table167[[#This Row],[Total Challenges]]&gt;0,Table167[[#This Row],[Total Ex-C Clubs]]&gt;0,Table167[[#This Row],[Total Intra-School Sports]]&gt;0,Table167[[#This Row],[Total Inter-School Sports]]&gt;0,Table167[[#This Row],[Community Clubs]]&gt;0),1,0)</f>
        <v>0</v>
      </c>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21"/>
    </row>
    <row r="93" spans="1:218" x14ac:dyDescent="0.25">
      <c r="A93" s="17"/>
      <c r="B93" s="17"/>
      <c r="C93" s="17"/>
      <c r="D93" s="17"/>
      <c r="E93" s="17"/>
      <c r="F93" s="17"/>
      <c r="G93" s="17"/>
      <c r="H93" s="17"/>
      <c r="I93" s="17"/>
      <c r="J93" s="17"/>
      <c r="K93" s="17">
        <f>SUM(Table167[[#This Row],[Challenge 1]:[Challenge 50]])</f>
        <v>0</v>
      </c>
      <c r="L93" s="88">
        <f>SUM(Table167[[#This Row],[Club 1]:[Club 50]])</f>
        <v>0</v>
      </c>
      <c r="M93" s="88">
        <f>SUM(Table167[[#This Row],[Intra-school sports 1]:[Intra-school sports 50]])</f>
        <v>0</v>
      </c>
      <c r="N93" s="88">
        <f>SUM(Table167[[#This Row],[Inter School sports 1]:[Inter School sports 50]])</f>
        <v>0</v>
      </c>
      <c r="O93" s="17">
        <f>COUNTIF(Table167[[#This Row],[Community club (type name of club(s). All clubs will count as ''1'']],"*")</f>
        <v>0</v>
      </c>
      <c r="P93" s="17">
        <f>IF(OR(Table167[[#This Row],[Total Challenges]]&gt;0,Table167[[#This Row],[Total Ex-C Clubs]]&gt;0,Table167[[#This Row],[Total Intra-School Sports]]&gt;0,Table167[[#This Row],[Total Inter-School Sports]]&gt;0,Table167[[#This Row],[Community Clubs]]&gt;0),1,0)</f>
        <v>0</v>
      </c>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21"/>
    </row>
    <row r="94" spans="1:218" x14ac:dyDescent="0.25">
      <c r="A94" s="17"/>
      <c r="B94" s="17"/>
      <c r="C94" s="17"/>
      <c r="D94" s="17"/>
      <c r="E94" s="17"/>
      <c r="F94" s="17"/>
      <c r="G94" s="17"/>
      <c r="H94" s="17"/>
      <c r="I94" s="17"/>
      <c r="J94" s="17"/>
      <c r="K94" s="17">
        <f>SUM(Table167[[#This Row],[Challenge 1]:[Challenge 50]])</f>
        <v>0</v>
      </c>
      <c r="L94" s="88">
        <f>SUM(Table167[[#This Row],[Club 1]:[Club 50]])</f>
        <v>0</v>
      </c>
      <c r="M94" s="88">
        <f>SUM(Table167[[#This Row],[Intra-school sports 1]:[Intra-school sports 50]])</f>
        <v>0</v>
      </c>
      <c r="N94" s="88">
        <f>SUM(Table167[[#This Row],[Inter School sports 1]:[Inter School sports 50]])</f>
        <v>0</v>
      </c>
      <c r="O94" s="17">
        <f>COUNTIF(Table167[[#This Row],[Community club (type name of club(s). All clubs will count as ''1'']],"*")</f>
        <v>0</v>
      </c>
      <c r="P94" s="17">
        <f>IF(OR(Table167[[#This Row],[Total Challenges]]&gt;0,Table167[[#This Row],[Total Ex-C Clubs]]&gt;0,Table167[[#This Row],[Total Intra-School Sports]]&gt;0,Table167[[#This Row],[Total Inter-School Sports]]&gt;0,Table167[[#This Row],[Community Clubs]]&gt;0),1,0)</f>
        <v>0</v>
      </c>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21"/>
    </row>
    <row r="95" spans="1:218" x14ac:dyDescent="0.25">
      <c r="A95" s="17"/>
      <c r="B95" s="17"/>
      <c r="C95" s="17"/>
      <c r="D95" s="17"/>
      <c r="E95" s="17"/>
      <c r="F95" s="17"/>
      <c r="G95" s="17"/>
      <c r="H95" s="17"/>
      <c r="I95" s="17"/>
      <c r="J95" s="17"/>
      <c r="K95" s="17">
        <f>SUM(Table167[[#This Row],[Challenge 1]:[Challenge 50]])</f>
        <v>0</v>
      </c>
      <c r="L95" s="88">
        <f>SUM(Table167[[#This Row],[Club 1]:[Club 50]])</f>
        <v>0</v>
      </c>
      <c r="M95" s="88">
        <f>SUM(Table167[[#This Row],[Intra-school sports 1]:[Intra-school sports 50]])</f>
        <v>0</v>
      </c>
      <c r="N95" s="88">
        <f>SUM(Table167[[#This Row],[Inter School sports 1]:[Inter School sports 50]])</f>
        <v>0</v>
      </c>
      <c r="O95" s="17">
        <f>COUNTIF(Table167[[#This Row],[Community club (type name of club(s). All clubs will count as ''1'']],"*")</f>
        <v>0</v>
      </c>
      <c r="P95" s="17">
        <f>IF(OR(Table167[[#This Row],[Total Challenges]]&gt;0,Table167[[#This Row],[Total Ex-C Clubs]]&gt;0,Table167[[#This Row],[Total Intra-School Sports]]&gt;0,Table167[[#This Row],[Total Inter-School Sports]]&gt;0,Table167[[#This Row],[Community Clubs]]&gt;0),1,0)</f>
        <v>0</v>
      </c>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21"/>
    </row>
    <row r="96" spans="1:218" x14ac:dyDescent="0.25">
      <c r="A96" s="17"/>
      <c r="B96" s="17"/>
      <c r="C96" s="17"/>
      <c r="D96" s="17"/>
      <c r="E96" s="17"/>
      <c r="F96" s="17"/>
      <c r="G96" s="17"/>
      <c r="H96" s="17"/>
      <c r="I96" s="17"/>
      <c r="J96" s="17"/>
      <c r="K96" s="17">
        <f>SUM(Table167[[#This Row],[Challenge 1]:[Challenge 50]])</f>
        <v>0</v>
      </c>
      <c r="L96" s="88">
        <f>SUM(Table167[[#This Row],[Club 1]:[Club 50]])</f>
        <v>0</v>
      </c>
      <c r="M96" s="88">
        <f>SUM(Table167[[#This Row],[Intra-school sports 1]:[Intra-school sports 50]])</f>
        <v>0</v>
      </c>
      <c r="N96" s="88">
        <f>SUM(Table167[[#This Row],[Inter School sports 1]:[Inter School sports 50]])</f>
        <v>0</v>
      </c>
      <c r="O96" s="17">
        <f>COUNTIF(Table167[[#This Row],[Community club (type name of club(s). All clubs will count as ''1'']],"*")</f>
        <v>0</v>
      </c>
      <c r="P96" s="17">
        <f>IF(OR(Table167[[#This Row],[Total Challenges]]&gt;0,Table167[[#This Row],[Total Ex-C Clubs]]&gt;0,Table167[[#This Row],[Total Intra-School Sports]]&gt;0,Table167[[#This Row],[Total Inter-School Sports]]&gt;0,Table167[[#This Row],[Community Clubs]]&gt;0),1,0)</f>
        <v>0</v>
      </c>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21"/>
    </row>
    <row r="97" spans="1:218" x14ac:dyDescent="0.25">
      <c r="A97" s="17"/>
      <c r="B97" s="17"/>
      <c r="C97" s="17"/>
      <c r="D97" s="17"/>
      <c r="E97" s="17"/>
      <c r="F97" s="17"/>
      <c r="G97" s="17"/>
      <c r="H97" s="17"/>
      <c r="I97" s="17"/>
      <c r="J97" s="17"/>
      <c r="K97" s="17">
        <f>SUM(Table167[[#This Row],[Challenge 1]:[Challenge 50]])</f>
        <v>0</v>
      </c>
      <c r="L97" s="88">
        <f>SUM(Table167[[#This Row],[Club 1]:[Club 50]])</f>
        <v>0</v>
      </c>
      <c r="M97" s="88">
        <f>SUM(Table167[[#This Row],[Intra-school sports 1]:[Intra-school sports 50]])</f>
        <v>0</v>
      </c>
      <c r="N97" s="88">
        <f>SUM(Table167[[#This Row],[Inter School sports 1]:[Inter School sports 50]])</f>
        <v>0</v>
      </c>
      <c r="O97" s="17">
        <f>COUNTIF(Table167[[#This Row],[Community club (type name of club(s). All clubs will count as ''1'']],"*")</f>
        <v>0</v>
      </c>
      <c r="P97" s="17">
        <f>IF(OR(Table167[[#This Row],[Total Challenges]]&gt;0,Table167[[#This Row],[Total Ex-C Clubs]]&gt;0,Table167[[#This Row],[Total Intra-School Sports]]&gt;0,Table167[[#This Row],[Total Inter-School Sports]]&gt;0,Table167[[#This Row],[Community Clubs]]&gt;0),1,0)</f>
        <v>0</v>
      </c>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21"/>
    </row>
    <row r="98" spans="1:218" x14ac:dyDescent="0.25">
      <c r="A98" s="17"/>
      <c r="B98" s="17"/>
      <c r="C98" s="17"/>
      <c r="D98" s="17"/>
      <c r="E98" s="17"/>
      <c r="F98" s="17"/>
      <c r="G98" s="17"/>
      <c r="H98" s="17"/>
      <c r="I98" s="17"/>
      <c r="J98" s="17"/>
      <c r="K98" s="17">
        <f>SUM(Table167[[#This Row],[Challenge 1]:[Challenge 50]])</f>
        <v>0</v>
      </c>
      <c r="L98" s="88">
        <f>SUM(Table167[[#This Row],[Club 1]:[Club 50]])</f>
        <v>0</v>
      </c>
      <c r="M98" s="88">
        <f>SUM(Table167[[#This Row],[Intra-school sports 1]:[Intra-school sports 50]])</f>
        <v>0</v>
      </c>
      <c r="N98" s="88">
        <f>SUM(Table167[[#This Row],[Inter School sports 1]:[Inter School sports 50]])</f>
        <v>0</v>
      </c>
      <c r="O98" s="17">
        <f>COUNTIF(Table167[[#This Row],[Community club (type name of club(s). All clubs will count as ''1'']],"*")</f>
        <v>0</v>
      </c>
      <c r="P98" s="17">
        <f>IF(OR(Table167[[#This Row],[Total Challenges]]&gt;0,Table167[[#This Row],[Total Ex-C Clubs]]&gt;0,Table167[[#This Row],[Total Intra-School Sports]]&gt;0,Table167[[#This Row],[Total Inter-School Sports]]&gt;0,Table167[[#This Row],[Community Clubs]]&gt;0),1,0)</f>
        <v>0</v>
      </c>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21"/>
    </row>
    <row r="99" spans="1:218" x14ac:dyDescent="0.25">
      <c r="A99" s="17"/>
      <c r="B99" s="17"/>
      <c r="C99" s="17"/>
      <c r="D99" s="17"/>
      <c r="E99" s="17"/>
      <c r="F99" s="17"/>
      <c r="G99" s="17"/>
      <c r="H99" s="17"/>
      <c r="I99" s="17"/>
      <c r="J99" s="17"/>
      <c r="K99" s="17">
        <f>SUM(Table167[[#This Row],[Challenge 1]:[Challenge 50]])</f>
        <v>0</v>
      </c>
      <c r="L99" s="88">
        <f>SUM(Table167[[#This Row],[Club 1]:[Club 50]])</f>
        <v>0</v>
      </c>
      <c r="M99" s="88">
        <f>SUM(Table167[[#This Row],[Intra-school sports 1]:[Intra-school sports 50]])</f>
        <v>0</v>
      </c>
      <c r="N99" s="88">
        <f>SUM(Table167[[#This Row],[Inter School sports 1]:[Inter School sports 50]])</f>
        <v>0</v>
      </c>
      <c r="O99" s="17">
        <f>COUNTIF(Table167[[#This Row],[Community club (type name of club(s). All clubs will count as ''1'']],"*")</f>
        <v>0</v>
      </c>
      <c r="P99" s="17">
        <f>IF(OR(Table167[[#This Row],[Total Challenges]]&gt;0,Table167[[#This Row],[Total Ex-C Clubs]]&gt;0,Table167[[#This Row],[Total Intra-School Sports]]&gt;0,Table167[[#This Row],[Total Inter-School Sports]]&gt;0,Table167[[#This Row],[Community Clubs]]&gt;0),1,0)</f>
        <v>0</v>
      </c>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21"/>
    </row>
    <row r="100" spans="1:218" x14ac:dyDescent="0.25">
      <c r="A100" s="17"/>
      <c r="B100" s="17"/>
      <c r="C100" s="17"/>
      <c r="D100" s="17"/>
      <c r="E100" s="17"/>
      <c r="F100" s="17"/>
      <c r="G100" s="17"/>
      <c r="H100" s="17"/>
      <c r="I100" s="17"/>
      <c r="J100" s="17"/>
      <c r="K100" s="17">
        <f>SUM(Table167[[#This Row],[Challenge 1]:[Challenge 50]])</f>
        <v>0</v>
      </c>
      <c r="L100" s="88">
        <f>SUM(Table167[[#This Row],[Club 1]:[Club 50]])</f>
        <v>0</v>
      </c>
      <c r="M100" s="88">
        <f>SUM(Table167[[#This Row],[Intra-school sports 1]:[Intra-school sports 50]])</f>
        <v>0</v>
      </c>
      <c r="N100" s="88">
        <f>SUM(Table167[[#This Row],[Inter School sports 1]:[Inter School sports 50]])</f>
        <v>0</v>
      </c>
      <c r="O100" s="17">
        <f>COUNTIF(Table167[[#This Row],[Community club (type name of club(s). All clubs will count as ''1'']],"*")</f>
        <v>0</v>
      </c>
      <c r="P100" s="17">
        <f>IF(OR(Table167[[#This Row],[Total Challenges]]&gt;0,Table167[[#This Row],[Total Ex-C Clubs]]&gt;0,Table167[[#This Row],[Total Intra-School Sports]]&gt;0,Table167[[#This Row],[Total Inter-School Sports]]&gt;0,Table167[[#This Row],[Community Clubs]]&gt;0),1,0)</f>
        <v>0</v>
      </c>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21"/>
    </row>
    <row r="101" spans="1:218" x14ac:dyDescent="0.25">
      <c r="A101" s="17"/>
      <c r="B101" s="17"/>
      <c r="C101" s="17"/>
      <c r="D101" s="17"/>
      <c r="E101" s="17"/>
      <c r="F101" s="17"/>
      <c r="G101" s="17"/>
      <c r="H101" s="17"/>
      <c r="I101" s="17"/>
      <c r="J101" s="17"/>
      <c r="K101" s="17">
        <f>SUM(Table167[[#This Row],[Challenge 1]:[Challenge 50]])</f>
        <v>0</v>
      </c>
      <c r="L101" s="88">
        <f>SUM(Table167[[#This Row],[Club 1]:[Club 50]])</f>
        <v>0</v>
      </c>
      <c r="M101" s="88">
        <f>SUM(Table167[[#This Row],[Intra-school sports 1]:[Intra-school sports 50]])</f>
        <v>0</v>
      </c>
      <c r="N101" s="88">
        <f>SUM(Table167[[#This Row],[Inter School sports 1]:[Inter School sports 50]])</f>
        <v>0</v>
      </c>
      <c r="O101" s="17">
        <f>COUNTIF(Table167[[#This Row],[Community club (type name of club(s). All clubs will count as ''1'']],"*")</f>
        <v>0</v>
      </c>
      <c r="P101" s="17">
        <f>IF(OR(Table167[[#This Row],[Total Challenges]]&gt;0,Table167[[#This Row],[Total Ex-C Clubs]]&gt;0,Table167[[#This Row],[Total Intra-School Sports]]&gt;0,Table167[[#This Row],[Total Inter-School Sports]]&gt;0,Table167[[#This Row],[Community Clubs]]&gt;0),1,0)</f>
        <v>0</v>
      </c>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21"/>
    </row>
    <row r="102" spans="1:218" x14ac:dyDescent="0.25">
      <c r="A102" s="17"/>
      <c r="B102" s="17"/>
      <c r="C102" s="17"/>
      <c r="D102" s="17"/>
      <c r="E102" s="17"/>
      <c r="F102" s="17"/>
      <c r="G102" s="17"/>
      <c r="H102" s="17"/>
      <c r="I102" s="17"/>
      <c r="J102" s="17"/>
      <c r="K102" s="17">
        <f>SUM(Table167[[#This Row],[Challenge 1]:[Challenge 50]])</f>
        <v>0</v>
      </c>
      <c r="L102" s="88">
        <f>SUM(Table167[[#This Row],[Club 1]:[Club 50]])</f>
        <v>0</v>
      </c>
      <c r="M102" s="88">
        <f>SUM(Table167[[#This Row],[Intra-school sports 1]:[Intra-school sports 50]])</f>
        <v>0</v>
      </c>
      <c r="N102" s="88">
        <f>SUM(Table167[[#This Row],[Inter School sports 1]:[Inter School sports 50]])</f>
        <v>0</v>
      </c>
      <c r="O102" s="17">
        <f>COUNTIF(Table167[[#This Row],[Community club (type name of club(s). All clubs will count as ''1'']],"*")</f>
        <v>0</v>
      </c>
      <c r="P102" s="17">
        <f>IF(OR(Table167[[#This Row],[Total Challenges]]&gt;0,Table167[[#This Row],[Total Ex-C Clubs]]&gt;0,Table167[[#This Row],[Total Intra-School Sports]]&gt;0,Table167[[#This Row],[Total Inter-School Sports]]&gt;0,Table167[[#This Row],[Community Clubs]]&gt;0),1,0)</f>
        <v>0</v>
      </c>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21"/>
    </row>
    <row r="103" spans="1:218" x14ac:dyDescent="0.25">
      <c r="A103" s="17"/>
      <c r="B103" s="17"/>
      <c r="C103" s="17"/>
      <c r="D103" s="17"/>
      <c r="E103" s="17"/>
      <c r="F103" s="17"/>
      <c r="G103" s="17"/>
      <c r="H103" s="17"/>
      <c r="I103" s="17"/>
      <c r="J103" s="17"/>
      <c r="K103" s="17">
        <f>SUM(Table167[[#This Row],[Challenge 1]:[Challenge 50]])</f>
        <v>0</v>
      </c>
      <c r="L103" s="88">
        <f>SUM(Table167[[#This Row],[Club 1]:[Club 50]])</f>
        <v>0</v>
      </c>
      <c r="M103" s="88">
        <f>SUM(Table167[[#This Row],[Intra-school sports 1]:[Intra-school sports 50]])</f>
        <v>0</v>
      </c>
      <c r="N103" s="88">
        <f>SUM(Table167[[#This Row],[Inter School sports 1]:[Inter School sports 50]])</f>
        <v>0</v>
      </c>
      <c r="O103" s="17">
        <f>COUNTIF(Table167[[#This Row],[Community club (type name of club(s). All clubs will count as ''1'']],"*")</f>
        <v>0</v>
      </c>
      <c r="P103" s="17">
        <f>IF(OR(Table167[[#This Row],[Total Challenges]]&gt;0,Table167[[#This Row],[Total Ex-C Clubs]]&gt;0,Table167[[#This Row],[Total Intra-School Sports]]&gt;0,Table167[[#This Row],[Total Inter-School Sports]]&gt;0,Table167[[#This Row],[Community Clubs]]&gt;0),1,0)</f>
        <v>0</v>
      </c>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21"/>
    </row>
    <row r="104" spans="1:218" x14ac:dyDescent="0.25">
      <c r="A104" s="17"/>
      <c r="B104" s="17"/>
      <c r="C104" s="17"/>
      <c r="D104" s="17"/>
      <c r="E104" s="17"/>
      <c r="F104" s="17"/>
      <c r="G104" s="17"/>
      <c r="H104" s="17"/>
      <c r="I104" s="17"/>
      <c r="J104" s="17"/>
      <c r="K104" s="17">
        <f>SUM(Table167[[#This Row],[Challenge 1]:[Challenge 50]])</f>
        <v>0</v>
      </c>
      <c r="L104" s="88">
        <f>SUM(Table167[[#This Row],[Club 1]:[Club 50]])</f>
        <v>0</v>
      </c>
      <c r="M104" s="88">
        <f>SUM(Table167[[#This Row],[Intra-school sports 1]:[Intra-school sports 50]])</f>
        <v>0</v>
      </c>
      <c r="N104" s="88">
        <f>SUM(Table167[[#This Row],[Inter School sports 1]:[Inter School sports 50]])</f>
        <v>0</v>
      </c>
      <c r="O104" s="17">
        <f>COUNTIF(Table167[[#This Row],[Community club (type name of club(s). All clubs will count as ''1'']],"*")</f>
        <v>0</v>
      </c>
      <c r="P104" s="17">
        <f>IF(OR(Table167[[#This Row],[Total Challenges]]&gt;0,Table167[[#This Row],[Total Ex-C Clubs]]&gt;0,Table167[[#This Row],[Total Intra-School Sports]]&gt;0,Table167[[#This Row],[Total Inter-School Sports]]&gt;0,Table167[[#This Row],[Community Clubs]]&gt;0),1,0)</f>
        <v>0</v>
      </c>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21"/>
    </row>
    <row r="105" spans="1:218" x14ac:dyDescent="0.25">
      <c r="A105" s="17"/>
      <c r="B105" s="17"/>
      <c r="C105" s="17"/>
      <c r="D105" s="17"/>
      <c r="E105" s="17"/>
      <c r="F105" s="17"/>
      <c r="G105" s="17"/>
      <c r="H105" s="17"/>
      <c r="I105" s="17"/>
      <c r="J105" s="17"/>
      <c r="K105" s="17">
        <f>SUM(Table167[[#This Row],[Challenge 1]:[Challenge 50]])</f>
        <v>0</v>
      </c>
      <c r="L105" s="88">
        <f>SUM(Table167[[#This Row],[Club 1]:[Club 50]])</f>
        <v>0</v>
      </c>
      <c r="M105" s="88">
        <f>SUM(Table167[[#This Row],[Intra-school sports 1]:[Intra-school sports 50]])</f>
        <v>0</v>
      </c>
      <c r="N105" s="88">
        <f>SUM(Table167[[#This Row],[Inter School sports 1]:[Inter School sports 50]])</f>
        <v>0</v>
      </c>
      <c r="O105" s="17">
        <f>COUNTIF(Table167[[#This Row],[Community club (type name of club(s). All clubs will count as ''1'']],"*")</f>
        <v>0</v>
      </c>
      <c r="P105" s="17">
        <f>IF(OR(Table167[[#This Row],[Total Challenges]]&gt;0,Table167[[#This Row],[Total Ex-C Clubs]]&gt;0,Table167[[#This Row],[Total Intra-School Sports]]&gt;0,Table167[[#This Row],[Total Inter-School Sports]]&gt;0,Table167[[#This Row],[Community Clubs]]&gt;0),1,0)</f>
        <v>0</v>
      </c>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21"/>
    </row>
    <row r="106" spans="1:218" x14ac:dyDescent="0.25">
      <c r="A106" s="17"/>
      <c r="B106" s="17"/>
      <c r="C106" s="17"/>
      <c r="D106" s="17"/>
      <c r="E106" s="17"/>
      <c r="F106" s="17"/>
      <c r="G106" s="17"/>
      <c r="H106" s="17"/>
      <c r="I106" s="17"/>
      <c r="J106" s="17"/>
      <c r="K106" s="17">
        <f>SUM(Table167[[#This Row],[Challenge 1]:[Challenge 50]])</f>
        <v>0</v>
      </c>
      <c r="L106" s="88">
        <f>SUM(Table167[[#This Row],[Club 1]:[Club 50]])</f>
        <v>0</v>
      </c>
      <c r="M106" s="88">
        <f>SUM(Table167[[#This Row],[Intra-school sports 1]:[Intra-school sports 50]])</f>
        <v>0</v>
      </c>
      <c r="N106" s="88">
        <f>SUM(Table167[[#This Row],[Inter School sports 1]:[Inter School sports 50]])</f>
        <v>0</v>
      </c>
      <c r="O106" s="17">
        <f>COUNTIF(Table167[[#This Row],[Community club (type name of club(s). All clubs will count as ''1'']],"*")</f>
        <v>0</v>
      </c>
      <c r="P106" s="17">
        <f>IF(OR(Table167[[#This Row],[Total Challenges]]&gt;0,Table167[[#This Row],[Total Ex-C Clubs]]&gt;0,Table167[[#This Row],[Total Intra-School Sports]]&gt;0,Table167[[#This Row],[Total Inter-School Sports]]&gt;0,Table167[[#This Row],[Community Clubs]]&gt;0),1,0)</f>
        <v>0</v>
      </c>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21"/>
    </row>
    <row r="107" spans="1:218" x14ac:dyDescent="0.25">
      <c r="A107" s="17"/>
      <c r="B107" s="17"/>
      <c r="C107" s="17"/>
      <c r="D107" s="17"/>
      <c r="E107" s="17"/>
      <c r="F107" s="17"/>
      <c r="G107" s="17"/>
      <c r="H107" s="17"/>
      <c r="I107" s="17"/>
      <c r="J107" s="17"/>
      <c r="K107" s="17">
        <f>SUM(Table167[[#This Row],[Challenge 1]:[Challenge 50]])</f>
        <v>0</v>
      </c>
      <c r="L107" s="88">
        <f>SUM(Table167[[#This Row],[Club 1]:[Club 50]])</f>
        <v>0</v>
      </c>
      <c r="M107" s="88">
        <f>SUM(Table167[[#This Row],[Intra-school sports 1]:[Intra-school sports 50]])</f>
        <v>0</v>
      </c>
      <c r="N107" s="88">
        <f>SUM(Table167[[#This Row],[Inter School sports 1]:[Inter School sports 50]])</f>
        <v>0</v>
      </c>
      <c r="O107" s="17">
        <f>COUNTIF(Table167[[#This Row],[Community club (type name of club(s). All clubs will count as ''1'']],"*")</f>
        <v>0</v>
      </c>
      <c r="P107" s="17">
        <f>IF(OR(Table167[[#This Row],[Total Challenges]]&gt;0,Table167[[#This Row],[Total Ex-C Clubs]]&gt;0,Table167[[#This Row],[Total Intra-School Sports]]&gt;0,Table167[[#This Row],[Total Inter-School Sports]]&gt;0,Table167[[#This Row],[Community Clubs]]&gt;0),1,0)</f>
        <v>0</v>
      </c>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21"/>
    </row>
    <row r="108" spans="1:218" x14ac:dyDescent="0.25">
      <c r="A108" s="17"/>
      <c r="B108" s="17"/>
      <c r="C108" s="17"/>
      <c r="D108" s="17"/>
      <c r="E108" s="17"/>
      <c r="F108" s="17"/>
      <c r="G108" s="17"/>
      <c r="H108" s="17"/>
      <c r="I108" s="17"/>
      <c r="J108" s="17"/>
      <c r="K108" s="17">
        <f>SUM(Table167[[#This Row],[Challenge 1]:[Challenge 50]])</f>
        <v>0</v>
      </c>
      <c r="L108" s="88">
        <f>SUM(Table167[[#This Row],[Club 1]:[Club 50]])</f>
        <v>0</v>
      </c>
      <c r="M108" s="88">
        <f>SUM(Table167[[#This Row],[Intra-school sports 1]:[Intra-school sports 50]])</f>
        <v>0</v>
      </c>
      <c r="N108" s="88">
        <f>SUM(Table167[[#This Row],[Inter School sports 1]:[Inter School sports 50]])</f>
        <v>0</v>
      </c>
      <c r="O108" s="17">
        <f>COUNTIF(Table167[[#This Row],[Community club (type name of club(s). All clubs will count as ''1'']],"*")</f>
        <v>0</v>
      </c>
      <c r="P108" s="17">
        <f>IF(OR(Table167[[#This Row],[Total Challenges]]&gt;0,Table167[[#This Row],[Total Ex-C Clubs]]&gt;0,Table167[[#This Row],[Total Intra-School Sports]]&gt;0,Table167[[#This Row],[Total Inter-School Sports]]&gt;0,Table167[[#This Row],[Community Clubs]]&gt;0),1,0)</f>
        <v>0</v>
      </c>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21"/>
    </row>
    <row r="109" spans="1:218" x14ac:dyDescent="0.25">
      <c r="A109" s="17"/>
      <c r="B109" s="17"/>
      <c r="C109" s="17"/>
      <c r="D109" s="17"/>
      <c r="E109" s="17"/>
      <c r="F109" s="17"/>
      <c r="G109" s="17"/>
      <c r="H109" s="17"/>
      <c r="I109" s="17"/>
      <c r="J109" s="17"/>
      <c r="K109" s="17">
        <f>SUM(Table167[[#This Row],[Challenge 1]:[Challenge 50]])</f>
        <v>0</v>
      </c>
      <c r="L109" s="88">
        <f>SUM(Table167[[#This Row],[Club 1]:[Club 50]])</f>
        <v>0</v>
      </c>
      <c r="M109" s="88">
        <f>SUM(Table167[[#This Row],[Intra-school sports 1]:[Intra-school sports 50]])</f>
        <v>0</v>
      </c>
      <c r="N109" s="88">
        <f>SUM(Table167[[#This Row],[Inter School sports 1]:[Inter School sports 50]])</f>
        <v>0</v>
      </c>
      <c r="O109" s="17">
        <f>COUNTIF(Table167[[#This Row],[Community club (type name of club(s). All clubs will count as ''1'']],"*")</f>
        <v>0</v>
      </c>
      <c r="P109" s="17">
        <f>IF(OR(Table167[[#This Row],[Total Challenges]]&gt;0,Table167[[#This Row],[Total Ex-C Clubs]]&gt;0,Table167[[#This Row],[Total Intra-School Sports]]&gt;0,Table167[[#This Row],[Total Inter-School Sports]]&gt;0,Table167[[#This Row],[Community Clubs]]&gt;0),1,0)</f>
        <v>0</v>
      </c>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21"/>
    </row>
    <row r="110" spans="1:218" x14ac:dyDescent="0.25">
      <c r="A110" s="17"/>
      <c r="B110" s="17"/>
      <c r="C110" s="17"/>
      <c r="D110" s="17"/>
      <c r="E110" s="17"/>
      <c r="F110" s="17"/>
      <c r="G110" s="17"/>
      <c r="H110" s="17"/>
      <c r="I110" s="17"/>
      <c r="J110" s="17"/>
      <c r="K110" s="17">
        <f>SUM(Table167[[#This Row],[Challenge 1]:[Challenge 50]])</f>
        <v>0</v>
      </c>
      <c r="L110" s="88">
        <f>SUM(Table167[[#This Row],[Club 1]:[Club 50]])</f>
        <v>0</v>
      </c>
      <c r="M110" s="88">
        <f>SUM(Table167[[#This Row],[Intra-school sports 1]:[Intra-school sports 50]])</f>
        <v>0</v>
      </c>
      <c r="N110" s="88">
        <f>SUM(Table167[[#This Row],[Inter School sports 1]:[Inter School sports 50]])</f>
        <v>0</v>
      </c>
      <c r="O110" s="17">
        <f>COUNTIF(Table167[[#This Row],[Community club (type name of club(s). All clubs will count as ''1'']],"*")</f>
        <v>0</v>
      </c>
      <c r="P110" s="17">
        <f>IF(OR(Table167[[#This Row],[Total Challenges]]&gt;0,Table167[[#This Row],[Total Ex-C Clubs]]&gt;0,Table167[[#This Row],[Total Intra-School Sports]]&gt;0,Table167[[#This Row],[Total Inter-School Sports]]&gt;0,Table167[[#This Row],[Community Clubs]]&gt;0),1,0)</f>
        <v>0</v>
      </c>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21"/>
    </row>
    <row r="111" spans="1:218" x14ac:dyDescent="0.25">
      <c r="A111" s="17"/>
      <c r="B111" s="17"/>
      <c r="C111" s="17"/>
      <c r="D111" s="17"/>
      <c r="E111" s="17"/>
      <c r="F111" s="17"/>
      <c r="G111" s="17"/>
      <c r="H111" s="17"/>
      <c r="I111" s="17"/>
      <c r="J111" s="17"/>
      <c r="K111" s="17">
        <f>SUM(Table167[[#This Row],[Challenge 1]:[Challenge 50]])</f>
        <v>0</v>
      </c>
      <c r="L111" s="88">
        <f>SUM(Table167[[#This Row],[Club 1]:[Club 50]])</f>
        <v>0</v>
      </c>
      <c r="M111" s="88">
        <f>SUM(Table167[[#This Row],[Intra-school sports 1]:[Intra-school sports 50]])</f>
        <v>0</v>
      </c>
      <c r="N111" s="88">
        <f>SUM(Table167[[#This Row],[Inter School sports 1]:[Inter School sports 50]])</f>
        <v>0</v>
      </c>
      <c r="O111" s="17">
        <f>COUNTIF(Table167[[#This Row],[Community club (type name of club(s). All clubs will count as ''1'']],"*")</f>
        <v>0</v>
      </c>
      <c r="P111" s="17">
        <f>IF(OR(Table167[[#This Row],[Total Challenges]]&gt;0,Table167[[#This Row],[Total Ex-C Clubs]]&gt;0,Table167[[#This Row],[Total Intra-School Sports]]&gt;0,Table167[[#This Row],[Total Inter-School Sports]]&gt;0,Table167[[#This Row],[Community Clubs]]&gt;0),1,0)</f>
        <v>0</v>
      </c>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21"/>
    </row>
    <row r="112" spans="1:218" x14ac:dyDescent="0.25">
      <c r="A112" s="17"/>
      <c r="B112" s="17"/>
      <c r="C112" s="17"/>
      <c r="D112" s="17"/>
      <c r="E112" s="17"/>
      <c r="F112" s="17"/>
      <c r="G112" s="17"/>
      <c r="H112" s="17"/>
      <c r="I112" s="17"/>
      <c r="J112" s="17"/>
      <c r="K112" s="17">
        <f>SUM(Table167[[#This Row],[Challenge 1]:[Challenge 50]])</f>
        <v>0</v>
      </c>
      <c r="L112" s="88">
        <f>SUM(Table167[[#This Row],[Club 1]:[Club 50]])</f>
        <v>0</v>
      </c>
      <c r="M112" s="88">
        <f>SUM(Table167[[#This Row],[Intra-school sports 1]:[Intra-school sports 50]])</f>
        <v>0</v>
      </c>
      <c r="N112" s="88">
        <f>SUM(Table167[[#This Row],[Inter School sports 1]:[Inter School sports 50]])</f>
        <v>0</v>
      </c>
      <c r="O112" s="17">
        <f>COUNTIF(Table167[[#This Row],[Community club (type name of club(s). All clubs will count as ''1'']],"*")</f>
        <v>0</v>
      </c>
      <c r="P112" s="17">
        <f>IF(OR(Table167[[#This Row],[Total Challenges]]&gt;0,Table167[[#This Row],[Total Ex-C Clubs]]&gt;0,Table167[[#This Row],[Total Intra-School Sports]]&gt;0,Table167[[#This Row],[Total Inter-School Sports]]&gt;0,Table167[[#This Row],[Community Clubs]]&gt;0),1,0)</f>
        <v>0</v>
      </c>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21"/>
    </row>
    <row r="113" spans="1:218" x14ac:dyDescent="0.25">
      <c r="A113" s="17"/>
      <c r="B113" s="17"/>
      <c r="C113" s="17"/>
      <c r="D113" s="17"/>
      <c r="E113" s="17"/>
      <c r="F113" s="17"/>
      <c r="G113" s="17"/>
      <c r="H113" s="17"/>
      <c r="I113" s="17"/>
      <c r="J113" s="17"/>
      <c r="K113" s="17">
        <f>SUM(Table167[[#This Row],[Challenge 1]:[Challenge 50]])</f>
        <v>0</v>
      </c>
      <c r="L113" s="88">
        <f>SUM(Table167[[#This Row],[Club 1]:[Club 50]])</f>
        <v>0</v>
      </c>
      <c r="M113" s="88">
        <f>SUM(Table167[[#This Row],[Intra-school sports 1]:[Intra-school sports 50]])</f>
        <v>0</v>
      </c>
      <c r="N113" s="88">
        <f>SUM(Table167[[#This Row],[Inter School sports 1]:[Inter School sports 50]])</f>
        <v>0</v>
      </c>
      <c r="O113" s="17">
        <f>COUNTIF(Table167[[#This Row],[Community club (type name of club(s). All clubs will count as ''1'']],"*")</f>
        <v>0</v>
      </c>
      <c r="P113" s="17">
        <f>IF(OR(Table167[[#This Row],[Total Challenges]]&gt;0,Table167[[#This Row],[Total Ex-C Clubs]]&gt;0,Table167[[#This Row],[Total Intra-School Sports]]&gt;0,Table167[[#This Row],[Total Inter-School Sports]]&gt;0,Table167[[#This Row],[Community Clubs]]&gt;0),1,0)</f>
        <v>0</v>
      </c>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21"/>
    </row>
    <row r="114" spans="1:218" x14ac:dyDescent="0.25">
      <c r="A114" s="17"/>
      <c r="B114" s="17"/>
      <c r="C114" s="17"/>
      <c r="D114" s="17"/>
      <c r="E114" s="17"/>
      <c r="F114" s="17"/>
      <c r="G114" s="17"/>
      <c r="H114" s="17"/>
      <c r="I114" s="17"/>
      <c r="J114" s="17"/>
      <c r="K114" s="17">
        <f>SUM(Table167[[#This Row],[Challenge 1]:[Challenge 50]])</f>
        <v>0</v>
      </c>
      <c r="L114" s="88">
        <f>SUM(Table167[[#This Row],[Club 1]:[Club 50]])</f>
        <v>0</v>
      </c>
      <c r="M114" s="88">
        <f>SUM(Table167[[#This Row],[Intra-school sports 1]:[Intra-school sports 50]])</f>
        <v>0</v>
      </c>
      <c r="N114" s="88">
        <f>SUM(Table167[[#This Row],[Inter School sports 1]:[Inter School sports 50]])</f>
        <v>0</v>
      </c>
      <c r="O114" s="17">
        <f>COUNTIF(Table167[[#This Row],[Community club (type name of club(s). All clubs will count as ''1'']],"*")</f>
        <v>0</v>
      </c>
      <c r="P114" s="17">
        <f>IF(OR(Table167[[#This Row],[Total Challenges]]&gt;0,Table167[[#This Row],[Total Ex-C Clubs]]&gt;0,Table167[[#This Row],[Total Intra-School Sports]]&gt;0,Table167[[#This Row],[Total Inter-School Sports]]&gt;0,Table167[[#This Row],[Community Clubs]]&gt;0),1,0)</f>
        <v>0</v>
      </c>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21"/>
    </row>
    <row r="115" spans="1:218" x14ac:dyDescent="0.25">
      <c r="A115" s="17"/>
      <c r="B115" s="17"/>
      <c r="C115" s="17"/>
      <c r="D115" s="17"/>
      <c r="E115" s="17"/>
      <c r="F115" s="17"/>
      <c r="G115" s="17"/>
      <c r="H115" s="17"/>
      <c r="I115" s="17"/>
      <c r="J115" s="17"/>
      <c r="K115" s="17">
        <f>SUM(Table167[[#This Row],[Challenge 1]:[Challenge 50]])</f>
        <v>0</v>
      </c>
      <c r="L115" s="88">
        <f>SUM(Table167[[#This Row],[Club 1]:[Club 50]])</f>
        <v>0</v>
      </c>
      <c r="M115" s="88">
        <f>SUM(Table167[[#This Row],[Intra-school sports 1]:[Intra-school sports 50]])</f>
        <v>0</v>
      </c>
      <c r="N115" s="88">
        <f>SUM(Table167[[#This Row],[Inter School sports 1]:[Inter School sports 50]])</f>
        <v>0</v>
      </c>
      <c r="O115" s="17">
        <f>COUNTIF(Table167[[#This Row],[Community club (type name of club(s). All clubs will count as ''1'']],"*")</f>
        <v>0</v>
      </c>
      <c r="P115" s="17">
        <f>IF(OR(Table167[[#This Row],[Total Challenges]]&gt;0,Table167[[#This Row],[Total Ex-C Clubs]]&gt;0,Table167[[#This Row],[Total Intra-School Sports]]&gt;0,Table167[[#This Row],[Total Inter-School Sports]]&gt;0,Table167[[#This Row],[Community Clubs]]&gt;0),1,0)</f>
        <v>0</v>
      </c>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21"/>
    </row>
    <row r="116" spans="1:218" x14ac:dyDescent="0.25">
      <c r="A116" s="17"/>
      <c r="B116" s="17"/>
      <c r="C116" s="17"/>
      <c r="D116" s="17"/>
      <c r="E116" s="17"/>
      <c r="F116" s="17"/>
      <c r="G116" s="17"/>
      <c r="H116" s="17"/>
      <c r="I116" s="17"/>
      <c r="J116" s="17"/>
      <c r="K116" s="17">
        <f>SUM(Table167[[#This Row],[Challenge 1]:[Challenge 50]])</f>
        <v>0</v>
      </c>
      <c r="L116" s="88">
        <f>SUM(Table167[[#This Row],[Club 1]:[Club 50]])</f>
        <v>0</v>
      </c>
      <c r="M116" s="88">
        <f>SUM(Table167[[#This Row],[Intra-school sports 1]:[Intra-school sports 50]])</f>
        <v>0</v>
      </c>
      <c r="N116" s="88">
        <f>SUM(Table167[[#This Row],[Inter School sports 1]:[Inter School sports 50]])</f>
        <v>0</v>
      </c>
      <c r="O116" s="17">
        <f>COUNTIF(Table167[[#This Row],[Community club (type name of club(s). All clubs will count as ''1'']],"*")</f>
        <v>0</v>
      </c>
      <c r="P116" s="17">
        <f>IF(OR(Table167[[#This Row],[Total Challenges]]&gt;0,Table167[[#This Row],[Total Ex-C Clubs]]&gt;0,Table167[[#This Row],[Total Intra-School Sports]]&gt;0,Table167[[#This Row],[Total Inter-School Sports]]&gt;0,Table167[[#This Row],[Community Clubs]]&gt;0),1,0)</f>
        <v>0</v>
      </c>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21"/>
    </row>
    <row r="117" spans="1:218" x14ac:dyDescent="0.25">
      <c r="A117" s="17"/>
      <c r="B117" s="17"/>
      <c r="C117" s="17"/>
      <c r="D117" s="17"/>
      <c r="E117" s="17"/>
      <c r="F117" s="17"/>
      <c r="G117" s="17"/>
      <c r="H117" s="17"/>
      <c r="I117" s="17"/>
      <c r="J117" s="17"/>
      <c r="K117" s="17">
        <f>SUM(Table167[[#This Row],[Challenge 1]:[Challenge 50]])</f>
        <v>0</v>
      </c>
      <c r="L117" s="88">
        <f>SUM(Table167[[#This Row],[Club 1]:[Club 50]])</f>
        <v>0</v>
      </c>
      <c r="M117" s="88">
        <f>SUM(Table167[[#This Row],[Intra-school sports 1]:[Intra-school sports 50]])</f>
        <v>0</v>
      </c>
      <c r="N117" s="88">
        <f>SUM(Table167[[#This Row],[Inter School sports 1]:[Inter School sports 50]])</f>
        <v>0</v>
      </c>
      <c r="O117" s="17">
        <f>COUNTIF(Table167[[#This Row],[Community club (type name of club(s). All clubs will count as ''1'']],"*")</f>
        <v>0</v>
      </c>
      <c r="P117" s="17">
        <f>IF(OR(Table167[[#This Row],[Total Challenges]]&gt;0,Table167[[#This Row],[Total Ex-C Clubs]]&gt;0,Table167[[#This Row],[Total Intra-School Sports]]&gt;0,Table167[[#This Row],[Total Inter-School Sports]]&gt;0,Table167[[#This Row],[Community Clubs]]&gt;0),1,0)</f>
        <v>0</v>
      </c>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21"/>
    </row>
    <row r="118" spans="1:218" x14ac:dyDescent="0.25">
      <c r="A118" s="17"/>
      <c r="B118" s="17"/>
      <c r="C118" s="17"/>
      <c r="D118" s="17"/>
      <c r="E118" s="17"/>
      <c r="F118" s="17"/>
      <c r="G118" s="17"/>
      <c r="H118" s="17"/>
      <c r="I118" s="17"/>
      <c r="J118" s="17"/>
      <c r="K118" s="17">
        <f>SUM(Table167[[#This Row],[Challenge 1]:[Challenge 50]])</f>
        <v>0</v>
      </c>
      <c r="L118" s="88">
        <f>SUM(Table167[[#This Row],[Club 1]:[Club 50]])</f>
        <v>0</v>
      </c>
      <c r="M118" s="88">
        <f>SUM(Table167[[#This Row],[Intra-school sports 1]:[Intra-school sports 50]])</f>
        <v>0</v>
      </c>
      <c r="N118" s="88">
        <f>SUM(Table167[[#This Row],[Inter School sports 1]:[Inter School sports 50]])</f>
        <v>0</v>
      </c>
      <c r="O118" s="17">
        <f>COUNTIF(Table167[[#This Row],[Community club (type name of club(s). All clubs will count as ''1'']],"*")</f>
        <v>0</v>
      </c>
      <c r="P118" s="17">
        <f>IF(OR(Table167[[#This Row],[Total Challenges]]&gt;0,Table167[[#This Row],[Total Ex-C Clubs]]&gt;0,Table167[[#This Row],[Total Intra-School Sports]]&gt;0,Table167[[#This Row],[Total Inter-School Sports]]&gt;0,Table167[[#This Row],[Community Clubs]]&gt;0),1,0)</f>
        <v>0</v>
      </c>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21"/>
    </row>
    <row r="119" spans="1:218" x14ac:dyDescent="0.25">
      <c r="A119" s="17"/>
      <c r="B119" s="17"/>
      <c r="C119" s="17"/>
      <c r="D119" s="17"/>
      <c r="E119" s="17"/>
      <c r="F119" s="17"/>
      <c r="G119" s="17"/>
      <c r="H119" s="17"/>
      <c r="I119" s="17"/>
      <c r="J119" s="17"/>
      <c r="K119" s="17">
        <f>SUM(Table167[[#This Row],[Challenge 1]:[Challenge 50]])</f>
        <v>0</v>
      </c>
      <c r="L119" s="88">
        <f>SUM(Table167[[#This Row],[Club 1]:[Club 50]])</f>
        <v>0</v>
      </c>
      <c r="M119" s="88">
        <f>SUM(Table167[[#This Row],[Intra-school sports 1]:[Intra-school sports 50]])</f>
        <v>0</v>
      </c>
      <c r="N119" s="88">
        <f>SUM(Table167[[#This Row],[Inter School sports 1]:[Inter School sports 50]])</f>
        <v>0</v>
      </c>
      <c r="O119" s="17">
        <f>COUNTIF(Table167[[#This Row],[Community club (type name of club(s). All clubs will count as ''1'']],"*")</f>
        <v>0</v>
      </c>
      <c r="P119" s="17">
        <f>IF(OR(Table167[[#This Row],[Total Challenges]]&gt;0,Table167[[#This Row],[Total Ex-C Clubs]]&gt;0,Table167[[#This Row],[Total Intra-School Sports]]&gt;0,Table167[[#This Row],[Total Inter-School Sports]]&gt;0,Table167[[#This Row],[Community Clubs]]&gt;0),1,0)</f>
        <v>0</v>
      </c>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21"/>
    </row>
    <row r="120" spans="1:218" x14ac:dyDescent="0.25">
      <c r="A120" s="17"/>
      <c r="B120" s="17"/>
      <c r="C120" s="17"/>
      <c r="D120" s="17"/>
      <c r="E120" s="17"/>
      <c r="F120" s="17"/>
      <c r="G120" s="17"/>
      <c r="H120" s="17"/>
      <c r="I120" s="17"/>
      <c r="J120" s="17"/>
      <c r="K120" s="17">
        <f>SUM(Table167[[#This Row],[Challenge 1]:[Challenge 50]])</f>
        <v>0</v>
      </c>
      <c r="L120" s="88">
        <f>SUM(Table167[[#This Row],[Club 1]:[Club 50]])</f>
        <v>0</v>
      </c>
      <c r="M120" s="88">
        <f>SUM(Table167[[#This Row],[Intra-school sports 1]:[Intra-school sports 50]])</f>
        <v>0</v>
      </c>
      <c r="N120" s="88">
        <f>SUM(Table167[[#This Row],[Inter School sports 1]:[Inter School sports 50]])</f>
        <v>0</v>
      </c>
      <c r="O120" s="17">
        <f>COUNTIF(Table167[[#This Row],[Community club (type name of club(s). All clubs will count as ''1'']],"*")</f>
        <v>0</v>
      </c>
      <c r="P120" s="17">
        <f>IF(OR(Table167[[#This Row],[Total Challenges]]&gt;0,Table167[[#This Row],[Total Ex-C Clubs]]&gt;0,Table167[[#This Row],[Total Intra-School Sports]]&gt;0,Table167[[#This Row],[Total Inter-School Sports]]&gt;0,Table167[[#This Row],[Community Clubs]]&gt;0),1,0)</f>
        <v>0</v>
      </c>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21"/>
    </row>
    <row r="121" spans="1:218" x14ac:dyDescent="0.25">
      <c r="A121" s="17"/>
      <c r="B121" s="17"/>
      <c r="C121" s="17"/>
      <c r="D121" s="17"/>
      <c r="E121" s="17"/>
      <c r="F121" s="17"/>
      <c r="G121" s="17"/>
      <c r="H121" s="17"/>
      <c r="I121" s="17"/>
      <c r="J121" s="17"/>
      <c r="K121" s="17">
        <f>SUM(Table167[[#This Row],[Challenge 1]:[Challenge 50]])</f>
        <v>0</v>
      </c>
      <c r="L121" s="88">
        <f>SUM(Table167[[#This Row],[Club 1]:[Club 50]])</f>
        <v>0</v>
      </c>
      <c r="M121" s="88">
        <f>SUM(Table167[[#This Row],[Intra-school sports 1]:[Intra-school sports 50]])</f>
        <v>0</v>
      </c>
      <c r="N121" s="88">
        <f>SUM(Table167[[#This Row],[Inter School sports 1]:[Inter School sports 50]])</f>
        <v>0</v>
      </c>
      <c r="O121" s="17">
        <f>COUNTIF(Table167[[#This Row],[Community club (type name of club(s). All clubs will count as ''1'']],"*")</f>
        <v>0</v>
      </c>
      <c r="P121" s="17">
        <f>IF(OR(Table167[[#This Row],[Total Challenges]]&gt;0,Table167[[#This Row],[Total Ex-C Clubs]]&gt;0,Table167[[#This Row],[Total Intra-School Sports]]&gt;0,Table167[[#This Row],[Total Inter-School Sports]]&gt;0,Table167[[#This Row],[Community Clubs]]&gt;0),1,0)</f>
        <v>0</v>
      </c>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21"/>
    </row>
    <row r="122" spans="1:218" x14ac:dyDescent="0.25">
      <c r="A122" s="17"/>
      <c r="B122" s="17"/>
      <c r="C122" s="17"/>
      <c r="D122" s="17"/>
      <c r="E122" s="17"/>
      <c r="F122" s="17"/>
      <c r="G122" s="17"/>
      <c r="H122" s="17"/>
      <c r="I122" s="17"/>
      <c r="J122" s="17"/>
      <c r="K122" s="17">
        <f>SUM(Table167[[#This Row],[Challenge 1]:[Challenge 50]])</f>
        <v>0</v>
      </c>
      <c r="L122" s="88">
        <f>SUM(Table167[[#This Row],[Club 1]:[Club 50]])</f>
        <v>0</v>
      </c>
      <c r="M122" s="88">
        <f>SUM(Table167[[#This Row],[Intra-school sports 1]:[Intra-school sports 50]])</f>
        <v>0</v>
      </c>
      <c r="N122" s="88">
        <f>SUM(Table167[[#This Row],[Inter School sports 1]:[Inter School sports 50]])</f>
        <v>0</v>
      </c>
      <c r="O122" s="17">
        <f>COUNTIF(Table167[[#This Row],[Community club (type name of club(s). All clubs will count as ''1'']],"*")</f>
        <v>0</v>
      </c>
      <c r="P122" s="17">
        <f>IF(OR(Table167[[#This Row],[Total Challenges]]&gt;0,Table167[[#This Row],[Total Ex-C Clubs]]&gt;0,Table167[[#This Row],[Total Intra-School Sports]]&gt;0,Table167[[#This Row],[Total Inter-School Sports]]&gt;0,Table167[[#This Row],[Community Clubs]]&gt;0),1,0)</f>
        <v>0</v>
      </c>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21"/>
    </row>
    <row r="123" spans="1:218" x14ac:dyDescent="0.25">
      <c r="A123" s="17"/>
      <c r="B123" s="17"/>
      <c r="C123" s="17"/>
      <c r="D123" s="17"/>
      <c r="E123" s="17"/>
      <c r="F123" s="17"/>
      <c r="G123" s="17"/>
      <c r="H123" s="17"/>
      <c r="I123" s="17"/>
      <c r="J123" s="17"/>
      <c r="K123" s="17">
        <f>SUM(Table167[[#This Row],[Challenge 1]:[Challenge 50]])</f>
        <v>0</v>
      </c>
      <c r="L123" s="88">
        <f>SUM(Table167[[#This Row],[Club 1]:[Club 50]])</f>
        <v>0</v>
      </c>
      <c r="M123" s="88">
        <f>SUM(Table167[[#This Row],[Intra-school sports 1]:[Intra-school sports 50]])</f>
        <v>0</v>
      </c>
      <c r="N123" s="88">
        <f>SUM(Table167[[#This Row],[Inter School sports 1]:[Inter School sports 50]])</f>
        <v>0</v>
      </c>
      <c r="O123" s="17">
        <f>COUNTIF(Table167[[#This Row],[Community club (type name of club(s). All clubs will count as ''1'']],"*")</f>
        <v>0</v>
      </c>
      <c r="P123" s="17">
        <f>IF(OR(Table167[[#This Row],[Total Challenges]]&gt;0,Table167[[#This Row],[Total Ex-C Clubs]]&gt;0,Table167[[#This Row],[Total Intra-School Sports]]&gt;0,Table167[[#This Row],[Total Inter-School Sports]]&gt;0,Table167[[#This Row],[Community Clubs]]&gt;0),1,0)</f>
        <v>0</v>
      </c>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21"/>
    </row>
    <row r="124" spans="1:218" x14ac:dyDescent="0.25">
      <c r="A124" s="17"/>
      <c r="B124" s="17"/>
      <c r="C124" s="17"/>
      <c r="D124" s="17"/>
      <c r="E124" s="17"/>
      <c r="F124" s="17"/>
      <c r="G124" s="17"/>
      <c r="H124" s="17"/>
      <c r="I124" s="17"/>
      <c r="J124" s="17"/>
      <c r="K124" s="17">
        <f>SUM(Table167[[#This Row],[Challenge 1]:[Challenge 50]])</f>
        <v>0</v>
      </c>
      <c r="L124" s="88">
        <f>SUM(Table167[[#This Row],[Club 1]:[Club 50]])</f>
        <v>0</v>
      </c>
      <c r="M124" s="88">
        <f>SUM(Table167[[#This Row],[Intra-school sports 1]:[Intra-school sports 50]])</f>
        <v>0</v>
      </c>
      <c r="N124" s="88">
        <f>SUM(Table167[[#This Row],[Inter School sports 1]:[Inter School sports 50]])</f>
        <v>0</v>
      </c>
      <c r="O124" s="17">
        <f>COUNTIF(Table167[[#This Row],[Community club (type name of club(s). All clubs will count as ''1'']],"*")</f>
        <v>0</v>
      </c>
      <c r="P124" s="17">
        <f>IF(OR(Table167[[#This Row],[Total Challenges]]&gt;0,Table167[[#This Row],[Total Ex-C Clubs]]&gt;0,Table167[[#This Row],[Total Intra-School Sports]]&gt;0,Table167[[#This Row],[Total Inter-School Sports]]&gt;0,Table167[[#This Row],[Community Clubs]]&gt;0),1,0)</f>
        <v>0</v>
      </c>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21"/>
    </row>
    <row r="125" spans="1:218" x14ac:dyDescent="0.25">
      <c r="A125" s="17"/>
      <c r="B125" s="17"/>
      <c r="C125" s="17"/>
      <c r="D125" s="17"/>
      <c r="E125" s="17"/>
      <c r="F125" s="17"/>
      <c r="G125" s="17"/>
      <c r="H125" s="17"/>
      <c r="I125" s="17"/>
      <c r="J125" s="17"/>
      <c r="K125" s="17">
        <f>SUM(Table167[[#This Row],[Challenge 1]:[Challenge 50]])</f>
        <v>0</v>
      </c>
      <c r="L125" s="88">
        <f>SUM(Table167[[#This Row],[Club 1]:[Club 50]])</f>
        <v>0</v>
      </c>
      <c r="M125" s="88">
        <f>SUM(Table167[[#This Row],[Intra-school sports 1]:[Intra-school sports 50]])</f>
        <v>0</v>
      </c>
      <c r="N125" s="88">
        <f>SUM(Table167[[#This Row],[Inter School sports 1]:[Inter School sports 50]])</f>
        <v>0</v>
      </c>
      <c r="O125" s="17">
        <f>COUNTIF(Table167[[#This Row],[Community club (type name of club(s). All clubs will count as ''1'']],"*")</f>
        <v>0</v>
      </c>
      <c r="P125" s="17">
        <f>IF(OR(Table167[[#This Row],[Total Challenges]]&gt;0,Table167[[#This Row],[Total Ex-C Clubs]]&gt;0,Table167[[#This Row],[Total Intra-School Sports]]&gt;0,Table167[[#This Row],[Total Inter-School Sports]]&gt;0,Table167[[#This Row],[Community Clubs]]&gt;0),1,0)</f>
        <v>0</v>
      </c>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21"/>
    </row>
    <row r="126" spans="1:218" x14ac:dyDescent="0.25">
      <c r="A126" s="17"/>
      <c r="B126" s="17"/>
      <c r="C126" s="17"/>
      <c r="D126" s="17"/>
      <c r="E126" s="17"/>
      <c r="F126" s="17"/>
      <c r="G126" s="17"/>
      <c r="H126" s="17"/>
      <c r="I126" s="17"/>
      <c r="J126" s="17"/>
      <c r="K126" s="17">
        <f>SUM(Table167[[#This Row],[Challenge 1]:[Challenge 50]])</f>
        <v>0</v>
      </c>
      <c r="L126" s="88">
        <f>SUM(Table167[[#This Row],[Club 1]:[Club 50]])</f>
        <v>0</v>
      </c>
      <c r="M126" s="88">
        <f>SUM(Table167[[#This Row],[Intra-school sports 1]:[Intra-school sports 50]])</f>
        <v>0</v>
      </c>
      <c r="N126" s="88">
        <f>SUM(Table167[[#This Row],[Inter School sports 1]:[Inter School sports 50]])</f>
        <v>0</v>
      </c>
      <c r="O126" s="17">
        <f>COUNTIF(Table167[[#This Row],[Community club (type name of club(s). All clubs will count as ''1'']],"*")</f>
        <v>0</v>
      </c>
      <c r="P126" s="17">
        <f>IF(OR(Table167[[#This Row],[Total Challenges]]&gt;0,Table167[[#This Row],[Total Ex-C Clubs]]&gt;0,Table167[[#This Row],[Total Intra-School Sports]]&gt;0,Table167[[#This Row],[Total Inter-School Sports]]&gt;0,Table167[[#This Row],[Community Clubs]]&gt;0),1,0)</f>
        <v>0</v>
      </c>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21"/>
    </row>
    <row r="127" spans="1:218" x14ac:dyDescent="0.25">
      <c r="A127" s="17"/>
      <c r="B127" s="17"/>
      <c r="C127" s="17"/>
      <c r="D127" s="17"/>
      <c r="E127" s="17"/>
      <c r="F127" s="17"/>
      <c r="G127" s="17"/>
      <c r="H127" s="17"/>
      <c r="I127" s="17"/>
      <c r="J127" s="17"/>
      <c r="K127" s="17">
        <f>SUM(Table167[[#This Row],[Challenge 1]:[Challenge 50]])</f>
        <v>0</v>
      </c>
      <c r="L127" s="88">
        <f>SUM(Table167[[#This Row],[Club 1]:[Club 50]])</f>
        <v>0</v>
      </c>
      <c r="M127" s="88">
        <f>SUM(Table167[[#This Row],[Intra-school sports 1]:[Intra-school sports 50]])</f>
        <v>0</v>
      </c>
      <c r="N127" s="88">
        <f>SUM(Table167[[#This Row],[Inter School sports 1]:[Inter School sports 50]])</f>
        <v>0</v>
      </c>
      <c r="O127" s="17">
        <f>COUNTIF(Table167[[#This Row],[Community club (type name of club(s). All clubs will count as ''1'']],"*")</f>
        <v>0</v>
      </c>
      <c r="P127" s="17">
        <f>IF(OR(Table167[[#This Row],[Total Challenges]]&gt;0,Table167[[#This Row],[Total Ex-C Clubs]]&gt;0,Table167[[#This Row],[Total Intra-School Sports]]&gt;0,Table167[[#This Row],[Total Inter-School Sports]]&gt;0,Table167[[#This Row],[Community Clubs]]&gt;0),1,0)</f>
        <v>0</v>
      </c>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21"/>
    </row>
    <row r="128" spans="1:218" x14ac:dyDescent="0.25">
      <c r="A128" s="17"/>
      <c r="B128" s="17"/>
      <c r="C128" s="17"/>
      <c r="D128" s="17"/>
      <c r="E128" s="17"/>
      <c r="F128" s="17"/>
      <c r="G128" s="17"/>
      <c r="H128" s="17"/>
      <c r="I128" s="17"/>
      <c r="J128" s="17"/>
      <c r="K128" s="17">
        <f>SUM(Table167[[#This Row],[Challenge 1]:[Challenge 50]])</f>
        <v>0</v>
      </c>
      <c r="L128" s="88">
        <f>SUM(Table167[[#This Row],[Club 1]:[Club 50]])</f>
        <v>0</v>
      </c>
      <c r="M128" s="88">
        <f>SUM(Table167[[#This Row],[Intra-school sports 1]:[Intra-school sports 50]])</f>
        <v>0</v>
      </c>
      <c r="N128" s="88">
        <f>SUM(Table167[[#This Row],[Inter School sports 1]:[Inter School sports 50]])</f>
        <v>0</v>
      </c>
      <c r="O128" s="17">
        <f>COUNTIF(Table167[[#This Row],[Community club (type name of club(s). All clubs will count as ''1'']],"*")</f>
        <v>0</v>
      </c>
      <c r="P128" s="17">
        <f>IF(OR(Table167[[#This Row],[Total Challenges]]&gt;0,Table167[[#This Row],[Total Ex-C Clubs]]&gt;0,Table167[[#This Row],[Total Intra-School Sports]]&gt;0,Table167[[#This Row],[Total Inter-School Sports]]&gt;0,Table167[[#This Row],[Community Clubs]]&gt;0),1,0)</f>
        <v>0</v>
      </c>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21"/>
    </row>
    <row r="129" spans="1:218" x14ac:dyDescent="0.25">
      <c r="A129" s="17"/>
      <c r="B129" s="17"/>
      <c r="C129" s="17"/>
      <c r="D129" s="17"/>
      <c r="E129" s="17"/>
      <c r="F129" s="17"/>
      <c r="G129" s="17"/>
      <c r="H129" s="17"/>
      <c r="I129" s="17"/>
      <c r="J129" s="17"/>
      <c r="K129" s="17">
        <f>SUM(Table167[[#This Row],[Challenge 1]:[Challenge 50]])</f>
        <v>0</v>
      </c>
      <c r="L129" s="88">
        <f>SUM(Table167[[#This Row],[Club 1]:[Club 50]])</f>
        <v>0</v>
      </c>
      <c r="M129" s="88">
        <f>SUM(Table167[[#This Row],[Intra-school sports 1]:[Intra-school sports 50]])</f>
        <v>0</v>
      </c>
      <c r="N129" s="88">
        <f>SUM(Table167[[#This Row],[Inter School sports 1]:[Inter School sports 50]])</f>
        <v>0</v>
      </c>
      <c r="O129" s="17">
        <f>COUNTIF(Table167[[#This Row],[Community club (type name of club(s). All clubs will count as ''1'']],"*")</f>
        <v>0</v>
      </c>
      <c r="P129" s="17">
        <f>IF(OR(Table167[[#This Row],[Total Challenges]]&gt;0,Table167[[#This Row],[Total Ex-C Clubs]]&gt;0,Table167[[#This Row],[Total Intra-School Sports]]&gt;0,Table167[[#This Row],[Total Inter-School Sports]]&gt;0,Table167[[#This Row],[Community Clubs]]&gt;0),1,0)</f>
        <v>0</v>
      </c>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21"/>
    </row>
    <row r="130" spans="1:218" x14ac:dyDescent="0.25">
      <c r="A130" s="17"/>
      <c r="B130" s="17"/>
      <c r="C130" s="17"/>
      <c r="D130" s="17"/>
      <c r="E130" s="17"/>
      <c r="F130" s="17"/>
      <c r="G130" s="17"/>
      <c r="H130" s="17"/>
      <c r="I130" s="17"/>
      <c r="J130" s="17"/>
      <c r="K130" s="17">
        <f>SUM(Table167[[#This Row],[Challenge 1]:[Challenge 50]])</f>
        <v>0</v>
      </c>
      <c r="L130" s="88">
        <f>SUM(Table167[[#This Row],[Club 1]:[Club 50]])</f>
        <v>0</v>
      </c>
      <c r="M130" s="88">
        <f>SUM(Table167[[#This Row],[Intra-school sports 1]:[Intra-school sports 50]])</f>
        <v>0</v>
      </c>
      <c r="N130" s="88">
        <f>SUM(Table167[[#This Row],[Inter School sports 1]:[Inter School sports 50]])</f>
        <v>0</v>
      </c>
      <c r="O130" s="17">
        <f>COUNTIF(Table167[[#This Row],[Community club (type name of club(s). All clubs will count as ''1'']],"*")</f>
        <v>0</v>
      </c>
      <c r="P130" s="17">
        <f>IF(OR(Table167[[#This Row],[Total Challenges]]&gt;0,Table167[[#This Row],[Total Ex-C Clubs]]&gt;0,Table167[[#This Row],[Total Intra-School Sports]]&gt;0,Table167[[#This Row],[Total Inter-School Sports]]&gt;0,Table167[[#This Row],[Community Clubs]]&gt;0),1,0)</f>
        <v>0</v>
      </c>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21"/>
    </row>
    <row r="131" spans="1:218" x14ac:dyDescent="0.25">
      <c r="A131" s="17"/>
      <c r="B131" s="17"/>
      <c r="C131" s="17"/>
      <c r="D131" s="17"/>
      <c r="E131" s="17"/>
      <c r="F131" s="17"/>
      <c r="G131" s="17"/>
      <c r="H131" s="17"/>
      <c r="I131" s="17"/>
      <c r="J131" s="17"/>
      <c r="K131" s="17">
        <f>SUM(Table167[[#This Row],[Challenge 1]:[Challenge 50]])</f>
        <v>0</v>
      </c>
      <c r="L131" s="88">
        <f>SUM(Table167[[#This Row],[Club 1]:[Club 50]])</f>
        <v>0</v>
      </c>
      <c r="M131" s="88">
        <f>SUM(Table167[[#This Row],[Intra-school sports 1]:[Intra-school sports 50]])</f>
        <v>0</v>
      </c>
      <c r="N131" s="88">
        <f>SUM(Table167[[#This Row],[Inter School sports 1]:[Inter School sports 50]])</f>
        <v>0</v>
      </c>
      <c r="O131" s="17">
        <f>COUNTIF(Table167[[#This Row],[Community club (type name of club(s). All clubs will count as ''1'']],"*")</f>
        <v>0</v>
      </c>
      <c r="P131" s="17">
        <f>IF(OR(Table167[[#This Row],[Total Challenges]]&gt;0,Table167[[#This Row],[Total Ex-C Clubs]]&gt;0,Table167[[#This Row],[Total Intra-School Sports]]&gt;0,Table167[[#This Row],[Total Inter-School Sports]]&gt;0,Table167[[#This Row],[Community Clubs]]&gt;0),1,0)</f>
        <v>0</v>
      </c>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21"/>
    </row>
    <row r="132" spans="1:218" x14ac:dyDescent="0.25">
      <c r="A132" s="17"/>
      <c r="B132" s="17"/>
      <c r="C132" s="17"/>
      <c r="D132" s="17"/>
      <c r="E132" s="17"/>
      <c r="F132" s="17"/>
      <c r="G132" s="17"/>
      <c r="H132" s="17"/>
      <c r="I132" s="17"/>
      <c r="J132" s="17"/>
      <c r="K132" s="17">
        <f>SUM(Table167[[#This Row],[Challenge 1]:[Challenge 50]])</f>
        <v>0</v>
      </c>
      <c r="L132" s="88">
        <f>SUM(Table167[[#This Row],[Club 1]:[Club 50]])</f>
        <v>0</v>
      </c>
      <c r="M132" s="88">
        <f>SUM(Table167[[#This Row],[Intra-school sports 1]:[Intra-school sports 50]])</f>
        <v>0</v>
      </c>
      <c r="N132" s="88">
        <f>SUM(Table167[[#This Row],[Inter School sports 1]:[Inter School sports 50]])</f>
        <v>0</v>
      </c>
      <c r="O132" s="17">
        <f>COUNTIF(Table167[[#This Row],[Community club (type name of club(s). All clubs will count as ''1'']],"*")</f>
        <v>0</v>
      </c>
      <c r="P132" s="17">
        <f>IF(OR(Table167[[#This Row],[Total Challenges]]&gt;0,Table167[[#This Row],[Total Ex-C Clubs]]&gt;0,Table167[[#This Row],[Total Intra-School Sports]]&gt;0,Table167[[#This Row],[Total Inter-School Sports]]&gt;0,Table167[[#This Row],[Community Clubs]]&gt;0),1,0)</f>
        <v>0</v>
      </c>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21"/>
    </row>
    <row r="133" spans="1:218" x14ac:dyDescent="0.25">
      <c r="A133" s="17"/>
      <c r="B133" s="17"/>
      <c r="C133" s="17"/>
      <c r="D133" s="17"/>
      <c r="E133" s="17"/>
      <c r="F133" s="17"/>
      <c r="G133" s="17"/>
      <c r="H133" s="17"/>
      <c r="I133" s="17"/>
      <c r="J133" s="17"/>
      <c r="K133" s="17">
        <f>SUM(Table167[[#This Row],[Challenge 1]:[Challenge 50]])</f>
        <v>0</v>
      </c>
      <c r="L133" s="88">
        <f>SUM(Table167[[#This Row],[Club 1]:[Club 50]])</f>
        <v>0</v>
      </c>
      <c r="M133" s="88">
        <f>SUM(Table167[[#This Row],[Intra-school sports 1]:[Intra-school sports 50]])</f>
        <v>0</v>
      </c>
      <c r="N133" s="88">
        <f>SUM(Table167[[#This Row],[Inter School sports 1]:[Inter School sports 50]])</f>
        <v>0</v>
      </c>
      <c r="O133" s="17">
        <f>COUNTIF(Table167[[#This Row],[Community club (type name of club(s). All clubs will count as ''1'']],"*")</f>
        <v>0</v>
      </c>
      <c r="P133" s="17">
        <f>IF(OR(Table167[[#This Row],[Total Challenges]]&gt;0,Table167[[#This Row],[Total Ex-C Clubs]]&gt;0,Table167[[#This Row],[Total Intra-School Sports]]&gt;0,Table167[[#This Row],[Total Inter-School Sports]]&gt;0,Table167[[#This Row],[Community Clubs]]&gt;0),1,0)</f>
        <v>0</v>
      </c>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21"/>
    </row>
    <row r="134" spans="1:218" x14ac:dyDescent="0.25">
      <c r="A134" s="17"/>
      <c r="B134" s="17"/>
      <c r="C134" s="17"/>
      <c r="D134" s="17"/>
      <c r="E134" s="17"/>
      <c r="F134" s="17"/>
      <c r="G134" s="17"/>
      <c r="H134" s="17"/>
      <c r="I134" s="17"/>
      <c r="J134" s="17"/>
      <c r="K134" s="17">
        <f>SUM(Table167[[#This Row],[Challenge 1]:[Challenge 50]])</f>
        <v>0</v>
      </c>
      <c r="L134" s="88">
        <f>SUM(Table167[[#This Row],[Club 1]:[Club 50]])</f>
        <v>0</v>
      </c>
      <c r="M134" s="88">
        <f>SUM(Table167[[#This Row],[Intra-school sports 1]:[Intra-school sports 50]])</f>
        <v>0</v>
      </c>
      <c r="N134" s="88">
        <f>SUM(Table167[[#This Row],[Inter School sports 1]:[Inter School sports 50]])</f>
        <v>0</v>
      </c>
      <c r="O134" s="17">
        <f>COUNTIF(Table167[[#This Row],[Community club (type name of club(s). All clubs will count as ''1'']],"*")</f>
        <v>0</v>
      </c>
      <c r="P134" s="17">
        <f>IF(OR(Table167[[#This Row],[Total Challenges]]&gt;0,Table167[[#This Row],[Total Ex-C Clubs]]&gt;0,Table167[[#This Row],[Total Intra-School Sports]]&gt;0,Table167[[#This Row],[Total Inter-School Sports]]&gt;0,Table167[[#This Row],[Community Clubs]]&gt;0),1,0)</f>
        <v>0</v>
      </c>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21"/>
    </row>
    <row r="135" spans="1:218" x14ac:dyDescent="0.25">
      <c r="A135" s="17"/>
      <c r="B135" s="17"/>
      <c r="C135" s="17"/>
      <c r="D135" s="17"/>
      <c r="E135" s="17"/>
      <c r="F135" s="17"/>
      <c r="G135" s="17"/>
      <c r="H135" s="17"/>
      <c r="I135" s="17"/>
      <c r="J135" s="17"/>
      <c r="K135" s="17">
        <f>SUM(Table167[[#This Row],[Challenge 1]:[Challenge 50]])</f>
        <v>0</v>
      </c>
      <c r="L135" s="88">
        <f>SUM(Table167[[#This Row],[Club 1]:[Club 50]])</f>
        <v>0</v>
      </c>
      <c r="M135" s="88">
        <f>SUM(Table167[[#This Row],[Intra-school sports 1]:[Intra-school sports 50]])</f>
        <v>0</v>
      </c>
      <c r="N135" s="88">
        <f>SUM(Table167[[#This Row],[Inter School sports 1]:[Inter School sports 50]])</f>
        <v>0</v>
      </c>
      <c r="O135" s="17">
        <f>COUNTIF(Table167[[#This Row],[Community club (type name of club(s). All clubs will count as ''1'']],"*")</f>
        <v>0</v>
      </c>
      <c r="P135" s="17">
        <f>IF(OR(Table167[[#This Row],[Total Challenges]]&gt;0,Table167[[#This Row],[Total Ex-C Clubs]]&gt;0,Table167[[#This Row],[Total Intra-School Sports]]&gt;0,Table167[[#This Row],[Total Inter-School Sports]]&gt;0,Table167[[#This Row],[Community Clubs]]&gt;0),1,0)</f>
        <v>0</v>
      </c>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21"/>
    </row>
    <row r="136" spans="1:218" x14ac:dyDescent="0.25">
      <c r="A136" s="17"/>
      <c r="B136" s="17"/>
      <c r="C136" s="17"/>
      <c r="D136" s="17"/>
      <c r="E136" s="17"/>
      <c r="F136" s="17"/>
      <c r="G136" s="17"/>
      <c r="H136" s="17"/>
      <c r="I136" s="17"/>
      <c r="J136" s="17"/>
      <c r="K136" s="17">
        <f>SUM(Table167[[#This Row],[Challenge 1]:[Challenge 50]])</f>
        <v>0</v>
      </c>
      <c r="L136" s="88">
        <f>SUM(Table167[[#This Row],[Club 1]:[Club 50]])</f>
        <v>0</v>
      </c>
      <c r="M136" s="88">
        <f>SUM(Table167[[#This Row],[Intra-school sports 1]:[Intra-school sports 50]])</f>
        <v>0</v>
      </c>
      <c r="N136" s="88">
        <f>SUM(Table167[[#This Row],[Inter School sports 1]:[Inter School sports 50]])</f>
        <v>0</v>
      </c>
      <c r="O136" s="17">
        <f>COUNTIF(Table167[[#This Row],[Community club (type name of club(s). All clubs will count as ''1'']],"*")</f>
        <v>0</v>
      </c>
      <c r="P136" s="17">
        <f>IF(OR(Table167[[#This Row],[Total Challenges]]&gt;0,Table167[[#This Row],[Total Ex-C Clubs]]&gt;0,Table167[[#This Row],[Total Intra-School Sports]]&gt;0,Table167[[#This Row],[Total Inter-School Sports]]&gt;0,Table167[[#This Row],[Community Clubs]]&gt;0),1,0)</f>
        <v>0</v>
      </c>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21"/>
    </row>
    <row r="137" spans="1:218" x14ac:dyDescent="0.25">
      <c r="A137" s="17"/>
      <c r="B137" s="17"/>
      <c r="C137" s="17"/>
      <c r="D137" s="17"/>
      <c r="E137" s="17"/>
      <c r="F137" s="17"/>
      <c r="G137" s="17"/>
      <c r="H137" s="17"/>
      <c r="I137" s="17"/>
      <c r="J137" s="17"/>
      <c r="K137" s="17">
        <f>SUM(Table167[[#This Row],[Challenge 1]:[Challenge 50]])</f>
        <v>0</v>
      </c>
      <c r="L137" s="88">
        <f>SUM(Table167[[#This Row],[Club 1]:[Club 50]])</f>
        <v>0</v>
      </c>
      <c r="M137" s="88">
        <f>SUM(Table167[[#This Row],[Intra-school sports 1]:[Intra-school sports 50]])</f>
        <v>0</v>
      </c>
      <c r="N137" s="88">
        <f>SUM(Table167[[#This Row],[Inter School sports 1]:[Inter School sports 50]])</f>
        <v>0</v>
      </c>
      <c r="O137" s="17">
        <f>COUNTIF(Table167[[#This Row],[Community club (type name of club(s). All clubs will count as ''1'']],"*")</f>
        <v>0</v>
      </c>
      <c r="P137" s="17">
        <f>IF(OR(Table167[[#This Row],[Total Challenges]]&gt;0,Table167[[#This Row],[Total Ex-C Clubs]]&gt;0,Table167[[#This Row],[Total Intra-School Sports]]&gt;0,Table167[[#This Row],[Total Inter-School Sports]]&gt;0,Table167[[#This Row],[Community Clubs]]&gt;0),1,0)</f>
        <v>0</v>
      </c>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21"/>
    </row>
    <row r="138" spans="1:218" x14ac:dyDescent="0.25">
      <c r="A138" s="17"/>
      <c r="B138" s="17"/>
      <c r="C138" s="17"/>
      <c r="D138" s="17"/>
      <c r="E138" s="17"/>
      <c r="F138" s="17"/>
      <c r="G138" s="17"/>
      <c r="H138" s="17"/>
      <c r="I138" s="17"/>
      <c r="J138" s="17"/>
      <c r="K138" s="17">
        <f>SUM(Table167[[#This Row],[Challenge 1]:[Challenge 50]])</f>
        <v>0</v>
      </c>
      <c r="L138" s="88">
        <f>SUM(Table167[[#This Row],[Club 1]:[Club 50]])</f>
        <v>0</v>
      </c>
      <c r="M138" s="88">
        <f>SUM(Table167[[#This Row],[Intra-school sports 1]:[Intra-school sports 50]])</f>
        <v>0</v>
      </c>
      <c r="N138" s="88">
        <f>SUM(Table167[[#This Row],[Inter School sports 1]:[Inter School sports 50]])</f>
        <v>0</v>
      </c>
      <c r="O138" s="17">
        <f>COUNTIF(Table167[[#This Row],[Community club (type name of club(s). All clubs will count as ''1'']],"*")</f>
        <v>0</v>
      </c>
      <c r="P138" s="17">
        <f>IF(OR(Table167[[#This Row],[Total Challenges]]&gt;0,Table167[[#This Row],[Total Ex-C Clubs]]&gt;0,Table167[[#This Row],[Total Intra-School Sports]]&gt;0,Table167[[#This Row],[Total Inter-School Sports]]&gt;0,Table167[[#This Row],[Community Clubs]]&gt;0),1,0)</f>
        <v>0</v>
      </c>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21"/>
    </row>
    <row r="139" spans="1:218" x14ac:dyDescent="0.25">
      <c r="A139" s="17"/>
      <c r="B139" s="17"/>
      <c r="C139" s="17"/>
      <c r="D139" s="17"/>
      <c r="E139" s="17"/>
      <c r="F139" s="17"/>
      <c r="G139" s="17"/>
      <c r="H139" s="17"/>
      <c r="I139" s="17"/>
      <c r="J139" s="17"/>
      <c r="K139" s="17">
        <f>SUM(Table167[[#This Row],[Challenge 1]:[Challenge 50]])</f>
        <v>0</v>
      </c>
      <c r="L139" s="88">
        <f>SUM(Table167[[#This Row],[Club 1]:[Club 50]])</f>
        <v>0</v>
      </c>
      <c r="M139" s="88">
        <f>SUM(Table167[[#This Row],[Intra-school sports 1]:[Intra-school sports 50]])</f>
        <v>0</v>
      </c>
      <c r="N139" s="88">
        <f>SUM(Table167[[#This Row],[Inter School sports 1]:[Inter School sports 50]])</f>
        <v>0</v>
      </c>
      <c r="O139" s="17">
        <f>COUNTIF(Table167[[#This Row],[Community club (type name of club(s). All clubs will count as ''1'']],"*")</f>
        <v>0</v>
      </c>
      <c r="P139" s="17">
        <f>IF(OR(Table167[[#This Row],[Total Challenges]]&gt;0,Table167[[#This Row],[Total Ex-C Clubs]]&gt;0,Table167[[#This Row],[Total Intra-School Sports]]&gt;0,Table167[[#This Row],[Total Inter-School Sports]]&gt;0,Table167[[#This Row],[Community Clubs]]&gt;0),1,0)</f>
        <v>0</v>
      </c>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21"/>
    </row>
    <row r="140" spans="1:218" x14ac:dyDescent="0.25">
      <c r="A140" s="17"/>
      <c r="B140" s="17"/>
      <c r="C140" s="17"/>
      <c r="D140" s="17"/>
      <c r="E140" s="17"/>
      <c r="F140" s="17"/>
      <c r="G140" s="17"/>
      <c r="H140" s="17"/>
      <c r="I140" s="17"/>
      <c r="J140" s="17"/>
      <c r="K140" s="17">
        <f>SUM(Table167[[#This Row],[Challenge 1]:[Challenge 50]])</f>
        <v>0</v>
      </c>
      <c r="L140" s="88">
        <f>SUM(Table167[[#This Row],[Club 1]:[Club 50]])</f>
        <v>0</v>
      </c>
      <c r="M140" s="88">
        <f>SUM(Table167[[#This Row],[Intra-school sports 1]:[Intra-school sports 50]])</f>
        <v>0</v>
      </c>
      <c r="N140" s="88">
        <f>SUM(Table167[[#This Row],[Inter School sports 1]:[Inter School sports 50]])</f>
        <v>0</v>
      </c>
      <c r="O140" s="17">
        <f>COUNTIF(Table167[[#This Row],[Community club (type name of club(s). All clubs will count as ''1'']],"*")</f>
        <v>0</v>
      </c>
      <c r="P140" s="17">
        <f>IF(OR(Table167[[#This Row],[Total Challenges]]&gt;0,Table167[[#This Row],[Total Ex-C Clubs]]&gt;0,Table167[[#This Row],[Total Intra-School Sports]]&gt;0,Table167[[#This Row],[Total Inter-School Sports]]&gt;0,Table167[[#This Row],[Community Clubs]]&gt;0),1,0)</f>
        <v>0</v>
      </c>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21"/>
    </row>
    <row r="141" spans="1:218" x14ac:dyDescent="0.25">
      <c r="A141" s="17"/>
      <c r="B141" s="17"/>
      <c r="C141" s="17"/>
      <c r="D141" s="17"/>
      <c r="E141" s="17"/>
      <c r="F141" s="17"/>
      <c r="G141" s="17"/>
      <c r="H141" s="17"/>
      <c r="I141" s="17"/>
      <c r="J141" s="17"/>
      <c r="K141" s="17">
        <f>SUM(Table167[[#This Row],[Challenge 1]:[Challenge 50]])</f>
        <v>0</v>
      </c>
      <c r="L141" s="88">
        <f>SUM(Table167[[#This Row],[Club 1]:[Club 50]])</f>
        <v>0</v>
      </c>
      <c r="M141" s="88">
        <f>SUM(Table167[[#This Row],[Intra-school sports 1]:[Intra-school sports 50]])</f>
        <v>0</v>
      </c>
      <c r="N141" s="88">
        <f>SUM(Table167[[#This Row],[Inter School sports 1]:[Inter School sports 50]])</f>
        <v>0</v>
      </c>
      <c r="O141" s="17">
        <f>COUNTIF(Table167[[#This Row],[Community club (type name of club(s). All clubs will count as ''1'']],"*")</f>
        <v>0</v>
      </c>
      <c r="P141" s="17">
        <f>IF(OR(Table167[[#This Row],[Total Challenges]]&gt;0,Table167[[#This Row],[Total Ex-C Clubs]]&gt;0,Table167[[#This Row],[Total Intra-School Sports]]&gt;0,Table167[[#This Row],[Total Inter-School Sports]]&gt;0,Table167[[#This Row],[Community Clubs]]&gt;0),1,0)</f>
        <v>0</v>
      </c>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21"/>
    </row>
    <row r="142" spans="1:218" x14ac:dyDescent="0.25">
      <c r="A142" s="17"/>
      <c r="B142" s="17"/>
      <c r="C142" s="17"/>
      <c r="D142" s="17"/>
      <c r="E142" s="17"/>
      <c r="F142" s="17"/>
      <c r="G142" s="17"/>
      <c r="H142" s="17"/>
      <c r="I142" s="17"/>
      <c r="J142" s="17"/>
      <c r="K142" s="17">
        <f>SUM(Table167[[#This Row],[Challenge 1]:[Challenge 50]])</f>
        <v>0</v>
      </c>
      <c r="L142" s="88">
        <f>SUM(Table167[[#This Row],[Club 1]:[Club 50]])</f>
        <v>0</v>
      </c>
      <c r="M142" s="88">
        <f>SUM(Table167[[#This Row],[Intra-school sports 1]:[Intra-school sports 50]])</f>
        <v>0</v>
      </c>
      <c r="N142" s="88">
        <f>SUM(Table167[[#This Row],[Inter School sports 1]:[Inter School sports 50]])</f>
        <v>0</v>
      </c>
      <c r="O142" s="17">
        <f>COUNTIF(Table167[[#This Row],[Community club (type name of club(s). All clubs will count as ''1'']],"*")</f>
        <v>0</v>
      </c>
      <c r="P142" s="17">
        <f>IF(OR(Table167[[#This Row],[Total Challenges]]&gt;0,Table167[[#This Row],[Total Ex-C Clubs]]&gt;0,Table167[[#This Row],[Total Intra-School Sports]]&gt;0,Table167[[#This Row],[Total Inter-School Sports]]&gt;0,Table167[[#This Row],[Community Clubs]]&gt;0),1,0)</f>
        <v>0</v>
      </c>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21"/>
    </row>
    <row r="143" spans="1:218" x14ac:dyDescent="0.25">
      <c r="A143" s="17"/>
      <c r="B143" s="17"/>
      <c r="C143" s="17"/>
      <c r="D143" s="17"/>
      <c r="E143" s="17"/>
      <c r="F143" s="17"/>
      <c r="G143" s="17"/>
      <c r="H143" s="17"/>
      <c r="I143" s="17"/>
      <c r="J143" s="17"/>
      <c r="K143" s="17">
        <f>SUM(Table167[[#This Row],[Challenge 1]:[Challenge 50]])</f>
        <v>0</v>
      </c>
      <c r="L143" s="88">
        <f>SUM(Table167[[#This Row],[Club 1]:[Club 50]])</f>
        <v>0</v>
      </c>
      <c r="M143" s="88">
        <f>SUM(Table167[[#This Row],[Intra-school sports 1]:[Intra-school sports 50]])</f>
        <v>0</v>
      </c>
      <c r="N143" s="88">
        <f>SUM(Table167[[#This Row],[Inter School sports 1]:[Inter School sports 50]])</f>
        <v>0</v>
      </c>
      <c r="O143" s="17">
        <f>COUNTIF(Table167[[#This Row],[Community club (type name of club(s). All clubs will count as ''1'']],"*")</f>
        <v>0</v>
      </c>
      <c r="P143" s="17">
        <f>IF(OR(Table167[[#This Row],[Total Challenges]]&gt;0,Table167[[#This Row],[Total Ex-C Clubs]]&gt;0,Table167[[#This Row],[Total Intra-School Sports]]&gt;0,Table167[[#This Row],[Total Inter-School Sports]]&gt;0,Table167[[#This Row],[Community Clubs]]&gt;0),1,0)</f>
        <v>0</v>
      </c>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21"/>
    </row>
    <row r="144" spans="1:218" x14ac:dyDescent="0.25">
      <c r="A144" s="17"/>
      <c r="B144" s="17"/>
      <c r="C144" s="17"/>
      <c r="D144" s="17"/>
      <c r="E144" s="17"/>
      <c r="F144" s="17"/>
      <c r="G144" s="17"/>
      <c r="H144" s="17"/>
      <c r="I144" s="17"/>
      <c r="J144" s="17"/>
      <c r="K144" s="17">
        <f>SUM(Table167[[#This Row],[Challenge 1]:[Challenge 50]])</f>
        <v>0</v>
      </c>
      <c r="L144" s="88">
        <f>SUM(Table167[[#This Row],[Club 1]:[Club 50]])</f>
        <v>0</v>
      </c>
      <c r="M144" s="88">
        <f>SUM(Table167[[#This Row],[Intra-school sports 1]:[Intra-school sports 50]])</f>
        <v>0</v>
      </c>
      <c r="N144" s="88">
        <f>SUM(Table167[[#This Row],[Inter School sports 1]:[Inter School sports 50]])</f>
        <v>0</v>
      </c>
      <c r="O144" s="17">
        <f>COUNTIF(Table167[[#This Row],[Community club (type name of club(s). All clubs will count as ''1'']],"*")</f>
        <v>0</v>
      </c>
      <c r="P144" s="17">
        <f>IF(OR(Table167[[#This Row],[Total Challenges]]&gt;0,Table167[[#This Row],[Total Ex-C Clubs]]&gt;0,Table167[[#This Row],[Total Intra-School Sports]]&gt;0,Table167[[#This Row],[Total Inter-School Sports]]&gt;0,Table167[[#This Row],[Community Clubs]]&gt;0),1,0)</f>
        <v>0</v>
      </c>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21"/>
    </row>
    <row r="145" spans="1:218" x14ac:dyDescent="0.25">
      <c r="A145" s="17"/>
      <c r="B145" s="17"/>
      <c r="C145" s="17"/>
      <c r="D145" s="17"/>
      <c r="E145" s="17"/>
      <c r="F145" s="17"/>
      <c r="G145" s="17"/>
      <c r="H145" s="17"/>
      <c r="I145" s="17"/>
      <c r="J145" s="17"/>
      <c r="K145" s="17">
        <f>SUM(Table167[[#This Row],[Challenge 1]:[Challenge 50]])</f>
        <v>0</v>
      </c>
      <c r="L145" s="88">
        <f>SUM(Table167[[#This Row],[Club 1]:[Club 50]])</f>
        <v>0</v>
      </c>
      <c r="M145" s="88">
        <f>SUM(Table167[[#This Row],[Intra-school sports 1]:[Intra-school sports 50]])</f>
        <v>0</v>
      </c>
      <c r="N145" s="88">
        <f>SUM(Table167[[#This Row],[Inter School sports 1]:[Inter School sports 50]])</f>
        <v>0</v>
      </c>
      <c r="O145" s="17">
        <f>COUNTIF(Table167[[#This Row],[Community club (type name of club(s). All clubs will count as ''1'']],"*")</f>
        <v>0</v>
      </c>
      <c r="P145" s="17">
        <f>IF(OR(Table167[[#This Row],[Total Challenges]]&gt;0,Table167[[#This Row],[Total Ex-C Clubs]]&gt;0,Table167[[#This Row],[Total Intra-School Sports]]&gt;0,Table167[[#This Row],[Total Inter-School Sports]]&gt;0,Table167[[#This Row],[Community Clubs]]&gt;0),1,0)</f>
        <v>0</v>
      </c>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21"/>
    </row>
    <row r="146" spans="1:218" x14ac:dyDescent="0.25">
      <c r="A146" s="17"/>
      <c r="B146" s="17"/>
      <c r="C146" s="17"/>
      <c r="D146" s="17"/>
      <c r="E146" s="17"/>
      <c r="F146" s="17"/>
      <c r="G146" s="17"/>
      <c r="H146" s="17"/>
      <c r="I146" s="17"/>
      <c r="J146" s="17"/>
      <c r="K146" s="17">
        <f>SUM(Table167[[#This Row],[Challenge 1]:[Challenge 50]])</f>
        <v>0</v>
      </c>
      <c r="L146" s="88">
        <f>SUM(Table167[[#This Row],[Club 1]:[Club 50]])</f>
        <v>0</v>
      </c>
      <c r="M146" s="88">
        <f>SUM(Table167[[#This Row],[Intra-school sports 1]:[Intra-school sports 50]])</f>
        <v>0</v>
      </c>
      <c r="N146" s="88">
        <f>SUM(Table167[[#This Row],[Inter School sports 1]:[Inter School sports 50]])</f>
        <v>0</v>
      </c>
      <c r="O146" s="17">
        <f>COUNTIF(Table167[[#This Row],[Community club (type name of club(s). All clubs will count as ''1'']],"*")</f>
        <v>0</v>
      </c>
      <c r="P146" s="17">
        <f>IF(OR(Table167[[#This Row],[Total Challenges]]&gt;0,Table167[[#This Row],[Total Ex-C Clubs]]&gt;0,Table167[[#This Row],[Total Intra-School Sports]]&gt;0,Table167[[#This Row],[Total Inter-School Sports]]&gt;0,Table167[[#This Row],[Community Clubs]]&gt;0),1,0)</f>
        <v>0</v>
      </c>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21"/>
    </row>
    <row r="147" spans="1:218" x14ac:dyDescent="0.25">
      <c r="A147" s="17"/>
      <c r="B147" s="17"/>
      <c r="C147" s="17"/>
      <c r="D147" s="17"/>
      <c r="E147" s="17"/>
      <c r="F147" s="17"/>
      <c r="G147" s="17"/>
      <c r="H147" s="17"/>
      <c r="I147" s="17"/>
      <c r="J147" s="17"/>
      <c r="K147" s="17">
        <f>SUM(Table167[[#This Row],[Challenge 1]:[Challenge 50]])</f>
        <v>0</v>
      </c>
      <c r="L147" s="88">
        <f>SUM(Table167[[#This Row],[Club 1]:[Club 50]])</f>
        <v>0</v>
      </c>
      <c r="M147" s="88">
        <f>SUM(Table167[[#This Row],[Intra-school sports 1]:[Intra-school sports 50]])</f>
        <v>0</v>
      </c>
      <c r="N147" s="88">
        <f>SUM(Table167[[#This Row],[Inter School sports 1]:[Inter School sports 50]])</f>
        <v>0</v>
      </c>
      <c r="O147" s="17">
        <f>COUNTIF(Table167[[#This Row],[Community club (type name of club(s). All clubs will count as ''1'']],"*")</f>
        <v>0</v>
      </c>
      <c r="P147" s="17">
        <f>IF(OR(Table167[[#This Row],[Total Challenges]]&gt;0,Table167[[#This Row],[Total Ex-C Clubs]]&gt;0,Table167[[#This Row],[Total Intra-School Sports]]&gt;0,Table167[[#This Row],[Total Inter-School Sports]]&gt;0,Table167[[#This Row],[Community Clubs]]&gt;0),1,0)</f>
        <v>0</v>
      </c>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21"/>
    </row>
    <row r="148" spans="1:218" x14ac:dyDescent="0.25">
      <c r="A148" s="17"/>
      <c r="B148" s="17"/>
      <c r="C148" s="17"/>
      <c r="D148" s="17"/>
      <c r="E148" s="17"/>
      <c r="F148" s="17"/>
      <c r="G148" s="17"/>
      <c r="H148" s="17"/>
      <c r="I148" s="17"/>
      <c r="J148" s="17"/>
      <c r="K148" s="17">
        <f>SUM(Table167[[#This Row],[Challenge 1]:[Challenge 50]])</f>
        <v>0</v>
      </c>
      <c r="L148" s="88">
        <f>SUM(Table167[[#This Row],[Club 1]:[Club 50]])</f>
        <v>0</v>
      </c>
      <c r="M148" s="88">
        <f>SUM(Table167[[#This Row],[Intra-school sports 1]:[Intra-school sports 50]])</f>
        <v>0</v>
      </c>
      <c r="N148" s="88">
        <f>SUM(Table167[[#This Row],[Inter School sports 1]:[Inter School sports 50]])</f>
        <v>0</v>
      </c>
      <c r="O148" s="17">
        <f>COUNTIF(Table167[[#This Row],[Community club (type name of club(s). All clubs will count as ''1'']],"*")</f>
        <v>0</v>
      </c>
      <c r="P148" s="17">
        <f>IF(OR(Table167[[#This Row],[Total Challenges]]&gt;0,Table167[[#This Row],[Total Ex-C Clubs]]&gt;0,Table167[[#This Row],[Total Intra-School Sports]]&gt;0,Table167[[#This Row],[Total Inter-School Sports]]&gt;0,Table167[[#This Row],[Community Clubs]]&gt;0),1,0)</f>
        <v>0</v>
      </c>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21"/>
    </row>
    <row r="149" spans="1:218" x14ac:dyDescent="0.25">
      <c r="A149" s="17"/>
      <c r="B149" s="17"/>
      <c r="C149" s="17"/>
      <c r="D149" s="17"/>
      <c r="E149" s="17"/>
      <c r="F149" s="17"/>
      <c r="G149" s="17"/>
      <c r="H149" s="17"/>
      <c r="I149" s="17"/>
      <c r="J149" s="17"/>
      <c r="K149" s="17">
        <f>SUM(Table167[[#This Row],[Challenge 1]:[Challenge 50]])</f>
        <v>0</v>
      </c>
      <c r="L149" s="88">
        <f>SUM(Table167[[#This Row],[Club 1]:[Club 50]])</f>
        <v>0</v>
      </c>
      <c r="M149" s="88">
        <f>SUM(Table167[[#This Row],[Intra-school sports 1]:[Intra-school sports 50]])</f>
        <v>0</v>
      </c>
      <c r="N149" s="88">
        <f>SUM(Table167[[#This Row],[Inter School sports 1]:[Inter School sports 50]])</f>
        <v>0</v>
      </c>
      <c r="O149" s="17">
        <f>COUNTIF(Table167[[#This Row],[Community club (type name of club(s). All clubs will count as ''1'']],"*")</f>
        <v>0</v>
      </c>
      <c r="P149" s="17">
        <f>IF(OR(Table167[[#This Row],[Total Challenges]]&gt;0,Table167[[#This Row],[Total Ex-C Clubs]]&gt;0,Table167[[#This Row],[Total Intra-School Sports]]&gt;0,Table167[[#This Row],[Total Inter-School Sports]]&gt;0,Table167[[#This Row],[Community Clubs]]&gt;0),1,0)</f>
        <v>0</v>
      </c>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21"/>
    </row>
    <row r="150" spans="1:218" x14ac:dyDescent="0.25">
      <c r="A150" s="17"/>
      <c r="B150" s="17"/>
      <c r="C150" s="17"/>
      <c r="D150" s="17"/>
      <c r="E150" s="17"/>
      <c r="F150" s="17"/>
      <c r="G150" s="17"/>
      <c r="H150" s="17"/>
      <c r="I150" s="17"/>
      <c r="J150" s="17"/>
      <c r="K150" s="17">
        <f>SUM(Table167[[#This Row],[Challenge 1]:[Challenge 50]])</f>
        <v>0</v>
      </c>
      <c r="L150" s="88">
        <f>SUM(Table167[[#This Row],[Club 1]:[Club 50]])</f>
        <v>0</v>
      </c>
      <c r="M150" s="88">
        <f>SUM(Table167[[#This Row],[Intra-school sports 1]:[Intra-school sports 50]])</f>
        <v>0</v>
      </c>
      <c r="N150" s="88">
        <f>SUM(Table167[[#This Row],[Inter School sports 1]:[Inter School sports 50]])</f>
        <v>0</v>
      </c>
      <c r="O150" s="17">
        <f>COUNTIF(Table167[[#This Row],[Community club (type name of club(s). All clubs will count as ''1'']],"*")</f>
        <v>0</v>
      </c>
      <c r="P150" s="17">
        <f>IF(OR(Table167[[#This Row],[Total Challenges]]&gt;0,Table167[[#This Row],[Total Ex-C Clubs]]&gt;0,Table167[[#This Row],[Total Intra-School Sports]]&gt;0,Table167[[#This Row],[Total Inter-School Sports]]&gt;0,Table167[[#This Row],[Community Clubs]]&gt;0),1,0)</f>
        <v>0</v>
      </c>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21"/>
    </row>
    <row r="151" spans="1:218" x14ac:dyDescent="0.25">
      <c r="A151" s="17"/>
      <c r="B151" s="17"/>
      <c r="C151" s="17"/>
      <c r="D151" s="17"/>
      <c r="E151" s="17"/>
      <c r="F151" s="17"/>
      <c r="G151" s="17"/>
      <c r="H151" s="17"/>
      <c r="I151" s="17"/>
      <c r="J151" s="17"/>
      <c r="K151" s="17">
        <f>SUM(Table167[[#This Row],[Challenge 1]:[Challenge 50]])</f>
        <v>0</v>
      </c>
      <c r="L151" s="88">
        <f>SUM(Table167[[#This Row],[Club 1]:[Club 50]])</f>
        <v>0</v>
      </c>
      <c r="M151" s="88">
        <f>SUM(Table167[[#This Row],[Intra-school sports 1]:[Intra-school sports 50]])</f>
        <v>0</v>
      </c>
      <c r="N151" s="88">
        <f>SUM(Table167[[#This Row],[Inter School sports 1]:[Inter School sports 50]])</f>
        <v>0</v>
      </c>
      <c r="O151" s="17">
        <f>COUNTIF(Table167[[#This Row],[Community club (type name of club(s). All clubs will count as ''1'']],"*")</f>
        <v>0</v>
      </c>
      <c r="P151" s="17">
        <f>IF(OR(Table167[[#This Row],[Total Challenges]]&gt;0,Table167[[#This Row],[Total Ex-C Clubs]]&gt;0,Table167[[#This Row],[Total Intra-School Sports]]&gt;0,Table167[[#This Row],[Total Inter-School Sports]]&gt;0,Table167[[#This Row],[Community Clubs]]&gt;0),1,0)</f>
        <v>0</v>
      </c>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21"/>
    </row>
    <row r="152" spans="1:218" x14ac:dyDescent="0.25">
      <c r="A152" s="17"/>
      <c r="B152" s="17"/>
      <c r="C152" s="17"/>
      <c r="D152" s="17"/>
      <c r="E152" s="17"/>
      <c r="F152" s="17"/>
      <c r="G152" s="17"/>
      <c r="H152" s="17"/>
      <c r="I152" s="17"/>
      <c r="J152" s="17"/>
      <c r="K152" s="17">
        <f>SUM(Table167[[#This Row],[Challenge 1]:[Challenge 50]])</f>
        <v>0</v>
      </c>
      <c r="L152" s="88">
        <f>SUM(Table167[[#This Row],[Club 1]:[Club 50]])</f>
        <v>0</v>
      </c>
      <c r="M152" s="88">
        <f>SUM(Table167[[#This Row],[Intra-school sports 1]:[Intra-school sports 50]])</f>
        <v>0</v>
      </c>
      <c r="N152" s="88">
        <f>SUM(Table167[[#This Row],[Inter School sports 1]:[Inter School sports 50]])</f>
        <v>0</v>
      </c>
      <c r="O152" s="17">
        <f>COUNTIF(Table167[[#This Row],[Community club (type name of club(s). All clubs will count as ''1'']],"*")</f>
        <v>0</v>
      </c>
      <c r="P152" s="17">
        <f>IF(OR(Table167[[#This Row],[Total Challenges]]&gt;0,Table167[[#This Row],[Total Ex-C Clubs]]&gt;0,Table167[[#This Row],[Total Intra-School Sports]]&gt;0,Table167[[#This Row],[Total Inter-School Sports]]&gt;0,Table167[[#This Row],[Community Clubs]]&gt;0),1,0)</f>
        <v>0</v>
      </c>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21"/>
    </row>
    <row r="153" spans="1:218" x14ac:dyDescent="0.25">
      <c r="A153" s="17"/>
      <c r="B153" s="17"/>
      <c r="C153" s="17"/>
      <c r="D153" s="17"/>
      <c r="E153" s="17"/>
      <c r="F153" s="17"/>
      <c r="G153" s="17"/>
      <c r="H153" s="17"/>
      <c r="I153" s="17"/>
      <c r="J153" s="17"/>
      <c r="K153" s="17">
        <f>SUM(Table167[[#This Row],[Challenge 1]:[Challenge 50]])</f>
        <v>0</v>
      </c>
      <c r="L153" s="88">
        <f>SUM(Table167[[#This Row],[Club 1]:[Club 50]])</f>
        <v>0</v>
      </c>
      <c r="M153" s="88">
        <f>SUM(Table167[[#This Row],[Intra-school sports 1]:[Intra-school sports 50]])</f>
        <v>0</v>
      </c>
      <c r="N153" s="88">
        <f>SUM(Table167[[#This Row],[Inter School sports 1]:[Inter School sports 50]])</f>
        <v>0</v>
      </c>
      <c r="O153" s="17">
        <f>COUNTIF(Table167[[#This Row],[Community club (type name of club(s). All clubs will count as ''1'']],"*")</f>
        <v>0</v>
      </c>
      <c r="P153" s="17">
        <f>IF(OR(Table167[[#This Row],[Total Challenges]]&gt;0,Table167[[#This Row],[Total Ex-C Clubs]]&gt;0,Table167[[#This Row],[Total Intra-School Sports]]&gt;0,Table167[[#This Row],[Total Inter-School Sports]]&gt;0,Table167[[#This Row],[Community Clubs]]&gt;0),1,0)</f>
        <v>0</v>
      </c>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21"/>
    </row>
    <row r="154" spans="1:218" x14ac:dyDescent="0.25">
      <c r="A154" s="17"/>
      <c r="B154" s="17"/>
      <c r="C154" s="17"/>
      <c r="D154" s="17"/>
      <c r="E154" s="17"/>
      <c r="F154" s="17"/>
      <c r="G154" s="17"/>
      <c r="H154" s="17"/>
      <c r="I154" s="17"/>
      <c r="J154" s="17"/>
      <c r="K154" s="17">
        <f>SUM(Table167[[#This Row],[Challenge 1]:[Challenge 50]])</f>
        <v>0</v>
      </c>
      <c r="L154" s="88">
        <f>SUM(Table167[[#This Row],[Club 1]:[Club 50]])</f>
        <v>0</v>
      </c>
      <c r="M154" s="88">
        <f>SUM(Table167[[#This Row],[Intra-school sports 1]:[Intra-school sports 50]])</f>
        <v>0</v>
      </c>
      <c r="N154" s="88">
        <f>SUM(Table167[[#This Row],[Inter School sports 1]:[Inter School sports 50]])</f>
        <v>0</v>
      </c>
      <c r="O154" s="17">
        <f>COUNTIF(Table167[[#This Row],[Community club (type name of club(s). All clubs will count as ''1'']],"*")</f>
        <v>0</v>
      </c>
      <c r="P154" s="17">
        <f>IF(OR(Table167[[#This Row],[Total Challenges]]&gt;0,Table167[[#This Row],[Total Ex-C Clubs]]&gt;0,Table167[[#This Row],[Total Intra-School Sports]]&gt;0,Table167[[#This Row],[Total Inter-School Sports]]&gt;0,Table167[[#This Row],[Community Clubs]]&gt;0),1,0)</f>
        <v>0</v>
      </c>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21"/>
    </row>
    <row r="155" spans="1:218" x14ac:dyDescent="0.25">
      <c r="A155" s="17"/>
      <c r="B155" s="17"/>
      <c r="C155" s="17"/>
      <c r="D155" s="17"/>
      <c r="E155" s="17"/>
      <c r="F155" s="17"/>
      <c r="G155" s="17"/>
      <c r="H155" s="17"/>
      <c r="I155" s="17"/>
      <c r="J155" s="17"/>
      <c r="K155" s="17">
        <f>SUM(Table167[[#This Row],[Challenge 1]:[Challenge 50]])</f>
        <v>0</v>
      </c>
      <c r="L155" s="88">
        <f>SUM(Table167[[#This Row],[Club 1]:[Club 50]])</f>
        <v>0</v>
      </c>
      <c r="M155" s="88">
        <f>SUM(Table167[[#This Row],[Intra-school sports 1]:[Intra-school sports 50]])</f>
        <v>0</v>
      </c>
      <c r="N155" s="88">
        <f>SUM(Table167[[#This Row],[Inter School sports 1]:[Inter School sports 50]])</f>
        <v>0</v>
      </c>
      <c r="O155" s="17">
        <f>COUNTIF(Table167[[#This Row],[Community club (type name of club(s). All clubs will count as ''1'']],"*")</f>
        <v>0</v>
      </c>
      <c r="P155" s="17">
        <f>IF(OR(Table167[[#This Row],[Total Challenges]]&gt;0,Table167[[#This Row],[Total Ex-C Clubs]]&gt;0,Table167[[#This Row],[Total Intra-School Sports]]&gt;0,Table167[[#This Row],[Total Inter-School Sports]]&gt;0,Table167[[#This Row],[Community Clubs]]&gt;0),1,0)</f>
        <v>0</v>
      </c>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21"/>
    </row>
    <row r="156" spans="1:218" x14ac:dyDescent="0.25">
      <c r="A156" s="17"/>
      <c r="B156" s="17"/>
      <c r="C156" s="17"/>
      <c r="D156" s="17"/>
      <c r="E156" s="17"/>
      <c r="F156" s="17"/>
      <c r="G156" s="17"/>
      <c r="H156" s="17"/>
      <c r="I156" s="17"/>
      <c r="J156" s="17"/>
      <c r="K156" s="17">
        <f>SUM(Table167[[#This Row],[Challenge 1]:[Challenge 50]])</f>
        <v>0</v>
      </c>
      <c r="L156" s="88">
        <f>SUM(Table167[[#This Row],[Club 1]:[Club 50]])</f>
        <v>0</v>
      </c>
      <c r="M156" s="88">
        <f>SUM(Table167[[#This Row],[Intra-school sports 1]:[Intra-school sports 50]])</f>
        <v>0</v>
      </c>
      <c r="N156" s="88">
        <f>SUM(Table167[[#This Row],[Inter School sports 1]:[Inter School sports 50]])</f>
        <v>0</v>
      </c>
      <c r="O156" s="17">
        <f>COUNTIF(Table167[[#This Row],[Community club (type name of club(s). All clubs will count as ''1'']],"*")</f>
        <v>0</v>
      </c>
      <c r="P156" s="17">
        <f>IF(OR(Table167[[#This Row],[Total Challenges]]&gt;0,Table167[[#This Row],[Total Ex-C Clubs]]&gt;0,Table167[[#This Row],[Total Intra-School Sports]]&gt;0,Table167[[#This Row],[Total Inter-School Sports]]&gt;0,Table167[[#This Row],[Community Clubs]]&gt;0),1,0)</f>
        <v>0</v>
      </c>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21"/>
    </row>
    <row r="157" spans="1:218" x14ac:dyDescent="0.25">
      <c r="A157" s="17"/>
      <c r="B157" s="17"/>
      <c r="C157" s="17"/>
      <c r="D157" s="17"/>
      <c r="E157" s="17"/>
      <c r="F157" s="17"/>
      <c r="G157" s="17"/>
      <c r="H157" s="17"/>
      <c r="I157" s="17"/>
      <c r="J157" s="17"/>
      <c r="K157" s="17">
        <f>SUM(Table167[[#This Row],[Challenge 1]:[Challenge 50]])</f>
        <v>0</v>
      </c>
      <c r="L157" s="88">
        <f>SUM(Table167[[#This Row],[Club 1]:[Club 50]])</f>
        <v>0</v>
      </c>
      <c r="M157" s="88">
        <f>SUM(Table167[[#This Row],[Intra-school sports 1]:[Intra-school sports 50]])</f>
        <v>0</v>
      </c>
      <c r="N157" s="88">
        <f>SUM(Table167[[#This Row],[Inter School sports 1]:[Inter School sports 50]])</f>
        <v>0</v>
      </c>
      <c r="O157" s="17">
        <f>COUNTIF(Table167[[#This Row],[Community club (type name of club(s). All clubs will count as ''1'']],"*")</f>
        <v>0</v>
      </c>
      <c r="P157" s="17">
        <f>IF(OR(Table167[[#This Row],[Total Challenges]]&gt;0,Table167[[#This Row],[Total Ex-C Clubs]]&gt;0,Table167[[#This Row],[Total Intra-School Sports]]&gt;0,Table167[[#This Row],[Total Inter-School Sports]]&gt;0,Table167[[#This Row],[Community Clubs]]&gt;0),1,0)</f>
        <v>0</v>
      </c>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21"/>
    </row>
    <row r="158" spans="1:218" x14ac:dyDescent="0.25">
      <c r="A158" s="17"/>
      <c r="B158" s="17"/>
      <c r="C158" s="17"/>
      <c r="D158" s="17"/>
      <c r="E158" s="17"/>
      <c r="F158" s="17"/>
      <c r="G158" s="17"/>
      <c r="H158" s="17"/>
      <c r="I158" s="17"/>
      <c r="J158" s="17"/>
      <c r="K158" s="17">
        <f>SUM(Table167[[#This Row],[Challenge 1]:[Challenge 50]])</f>
        <v>0</v>
      </c>
      <c r="L158" s="88">
        <f>SUM(Table167[[#This Row],[Club 1]:[Club 50]])</f>
        <v>0</v>
      </c>
      <c r="M158" s="88">
        <f>SUM(Table167[[#This Row],[Intra-school sports 1]:[Intra-school sports 50]])</f>
        <v>0</v>
      </c>
      <c r="N158" s="88">
        <f>SUM(Table167[[#This Row],[Inter School sports 1]:[Inter School sports 50]])</f>
        <v>0</v>
      </c>
      <c r="O158" s="17">
        <f>COUNTIF(Table167[[#This Row],[Community club (type name of club(s). All clubs will count as ''1'']],"*")</f>
        <v>0</v>
      </c>
      <c r="P158" s="17">
        <f>IF(OR(Table167[[#This Row],[Total Challenges]]&gt;0,Table167[[#This Row],[Total Ex-C Clubs]]&gt;0,Table167[[#This Row],[Total Intra-School Sports]]&gt;0,Table167[[#This Row],[Total Inter-School Sports]]&gt;0,Table167[[#This Row],[Community Clubs]]&gt;0),1,0)</f>
        <v>0</v>
      </c>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21"/>
    </row>
    <row r="159" spans="1:218" x14ac:dyDescent="0.25">
      <c r="A159" s="17"/>
      <c r="B159" s="17"/>
      <c r="C159" s="17"/>
      <c r="D159" s="17"/>
      <c r="E159" s="17"/>
      <c r="F159" s="17"/>
      <c r="G159" s="17"/>
      <c r="H159" s="17"/>
      <c r="I159" s="17"/>
      <c r="J159" s="17"/>
      <c r="K159" s="17">
        <f>SUM(Table167[[#This Row],[Challenge 1]:[Challenge 50]])</f>
        <v>0</v>
      </c>
      <c r="L159" s="88">
        <f>SUM(Table167[[#This Row],[Club 1]:[Club 50]])</f>
        <v>0</v>
      </c>
      <c r="M159" s="88">
        <f>SUM(Table167[[#This Row],[Intra-school sports 1]:[Intra-school sports 50]])</f>
        <v>0</v>
      </c>
      <c r="N159" s="88">
        <f>SUM(Table167[[#This Row],[Inter School sports 1]:[Inter School sports 50]])</f>
        <v>0</v>
      </c>
      <c r="O159" s="17">
        <f>COUNTIF(Table167[[#This Row],[Community club (type name of club(s). All clubs will count as ''1'']],"*")</f>
        <v>0</v>
      </c>
      <c r="P159" s="17">
        <f>IF(OR(Table167[[#This Row],[Total Challenges]]&gt;0,Table167[[#This Row],[Total Ex-C Clubs]]&gt;0,Table167[[#This Row],[Total Intra-School Sports]]&gt;0,Table167[[#This Row],[Total Inter-School Sports]]&gt;0,Table167[[#This Row],[Community Clubs]]&gt;0),1,0)</f>
        <v>0</v>
      </c>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21"/>
    </row>
    <row r="160" spans="1:218" x14ac:dyDescent="0.25">
      <c r="A160" s="17"/>
      <c r="B160" s="17"/>
      <c r="C160" s="17"/>
      <c r="D160" s="17"/>
      <c r="E160" s="17"/>
      <c r="F160" s="17"/>
      <c r="G160" s="17"/>
      <c r="H160" s="17"/>
      <c r="I160" s="17"/>
      <c r="J160" s="17"/>
      <c r="K160" s="17">
        <f>SUM(Table167[[#This Row],[Challenge 1]:[Challenge 50]])</f>
        <v>0</v>
      </c>
      <c r="L160" s="88">
        <f>SUM(Table167[[#This Row],[Club 1]:[Club 50]])</f>
        <v>0</v>
      </c>
      <c r="M160" s="88">
        <f>SUM(Table167[[#This Row],[Intra-school sports 1]:[Intra-school sports 50]])</f>
        <v>0</v>
      </c>
      <c r="N160" s="88">
        <f>SUM(Table167[[#This Row],[Inter School sports 1]:[Inter School sports 50]])</f>
        <v>0</v>
      </c>
      <c r="O160" s="17">
        <f>COUNTIF(Table167[[#This Row],[Community club (type name of club(s). All clubs will count as ''1'']],"*")</f>
        <v>0</v>
      </c>
      <c r="P160" s="17">
        <f>IF(OR(Table167[[#This Row],[Total Challenges]]&gt;0,Table167[[#This Row],[Total Ex-C Clubs]]&gt;0,Table167[[#This Row],[Total Intra-School Sports]]&gt;0,Table167[[#This Row],[Total Inter-School Sports]]&gt;0,Table167[[#This Row],[Community Clubs]]&gt;0),1,0)</f>
        <v>0</v>
      </c>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21"/>
    </row>
    <row r="161" spans="1:218" x14ac:dyDescent="0.25">
      <c r="A161" s="17"/>
      <c r="B161" s="17"/>
      <c r="C161" s="17"/>
      <c r="D161" s="17"/>
      <c r="E161" s="17"/>
      <c r="F161" s="17"/>
      <c r="G161" s="17"/>
      <c r="H161" s="17"/>
      <c r="I161" s="17"/>
      <c r="J161" s="17"/>
      <c r="K161" s="17">
        <f>SUM(Table167[[#This Row],[Challenge 1]:[Challenge 50]])</f>
        <v>0</v>
      </c>
      <c r="L161" s="88">
        <f>SUM(Table167[[#This Row],[Club 1]:[Club 50]])</f>
        <v>0</v>
      </c>
      <c r="M161" s="88">
        <f>SUM(Table167[[#This Row],[Intra-school sports 1]:[Intra-school sports 50]])</f>
        <v>0</v>
      </c>
      <c r="N161" s="88">
        <f>SUM(Table167[[#This Row],[Inter School sports 1]:[Inter School sports 50]])</f>
        <v>0</v>
      </c>
      <c r="O161" s="17">
        <f>COUNTIF(Table167[[#This Row],[Community club (type name of club(s). All clubs will count as ''1'']],"*")</f>
        <v>0</v>
      </c>
      <c r="P161" s="17">
        <f>IF(OR(Table167[[#This Row],[Total Challenges]]&gt;0,Table167[[#This Row],[Total Ex-C Clubs]]&gt;0,Table167[[#This Row],[Total Intra-School Sports]]&gt;0,Table167[[#This Row],[Total Inter-School Sports]]&gt;0,Table167[[#This Row],[Community Clubs]]&gt;0),1,0)</f>
        <v>0</v>
      </c>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21"/>
    </row>
    <row r="162" spans="1:218" x14ac:dyDescent="0.25">
      <c r="A162" s="17"/>
      <c r="B162" s="17"/>
      <c r="C162" s="17"/>
      <c r="D162" s="17"/>
      <c r="E162" s="17"/>
      <c r="F162" s="17"/>
      <c r="G162" s="17"/>
      <c r="H162" s="17"/>
      <c r="I162" s="17"/>
      <c r="J162" s="17"/>
      <c r="K162" s="17">
        <f>SUM(Table167[[#This Row],[Challenge 1]:[Challenge 50]])</f>
        <v>0</v>
      </c>
      <c r="L162" s="88">
        <f>SUM(Table167[[#This Row],[Club 1]:[Club 50]])</f>
        <v>0</v>
      </c>
      <c r="M162" s="88">
        <f>SUM(Table167[[#This Row],[Intra-school sports 1]:[Intra-school sports 50]])</f>
        <v>0</v>
      </c>
      <c r="N162" s="88">
        <f>SUM(Table167[[#This Row],[Inter School sports 1]:[Inter School sports 50]])</f>
        <v>0</v>
      </c>
      <c r="O162" s="17">
        <f>COUNTIF(Table167[[#This Row],[Community club (type name of club(s). All clubs will count as ''1'']],"*")</f>
        <v>0</v>
      </c>
      <c r="P162" s="17">
        <f>IF(OR(Table167[[#This Row],[Total Challenges]]&gt;0,Table167[[#This Row],[Total Ex-C Clubs]]&gt;0,Table167[[#This Row],[Total Intra-School Sports]]&gt;0,Table167[[#This Row],[Total Inter-School Sports]]&gt;0,Table167[[#This Row],[Community Clubs]]&gt;0),1,0)</f>
        <v>0</v>
      </c>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21"/>
    </row>
    <row r="163" spans="1:218" x14ac:dyDescent="0.25">
      <c r="A163" s="17"/>
      <c r="B163" s="17"/>
      <c r="C163" s="17"/>
      <c r="D163" s="17"/>
      <c r="E163" s="17"/>
      <c r="F163" s="17"/>
      <c r="G163" s="17"/>
      <c r="H163" s="17"/>
      <c r="I163" s="17"/>
      <c r="J163" s="17"/>
      <c r="K163" s="17">
        <f>SUM(Table167[[#This Row],[Challenge 1]:[Challenge 50]])</f>
        <v>0</v>
      </c>
      <c r="L163" s="88">
        <f>SUM(Table167[[#This Row],[Club 1]:[Club 50]])</f>
        <v>0</v>
      </c>
      <c r="M163" s="88">
        <f>SUM(Table167[[#This Row],[Intra-school sports 1]:[Intra-school sports 50]])</f>
        <v>0</v>
      </c>
      <c r="N163" s="88">
        <f>SUM(Table167[[#This Row],[Inter School sports 1]:[Inter School sports 50]])</f>
        <v>0</v>
      </c>
      <c r="O163" s="17">
        <f>COUNTIF(Table167[[#This Row],[Community club (type name of club(s). All clubs will count as ''1'']],"*")</f>
        <v>0</v>
      </c>
      <c r="P163" s="17">
        <f>IF(OR(Table167[[#This Row],[Total Challenges]]&gt;0,Table167[[#This Row],[Total Ex-C Clubs]]&gt;0,Table167[[#This Row],[Total Intra-School Sports]]&gt;0,Table167[[#This Row],[Total Inter-School Sports]]&gt;0,Table167[[#This Row],[Community Clubs]]&gt;0),1,0)</f>
        <v>0</v>
      </c>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21"/>
    </row>
    <row r="164" spans="1:218" x14ac:dyDescent="0.25">
      <c r="A164" s="17"/>
      <c r="B164" s="17"/>
      <c r="C164" s="17"/>
      <c r="D164" s="17"/>
      <c r="E164" s="17"/>
      <c r="F164" s="17"/>
      <c r="G164" s="17"/>
      <c r="H164" s="17"/>
      <c r="I164" s="17"/>
      <c r="J164" s="17"/>
      <c r="K164" s="17">
        <f>SUM(Table167[[#This Row],[Challenge 1]:[Challenge 50]])</f>
        <v>0</v>
      </c>
      <c r="L164" s="88">
        <f>SUM(Table167[[#This Row],[Club 1]:[Club 50]])</f>
        <v>0</v>
      </c>
      <c r="M164" s="88">
        <f>SUM(Table167[[#This Row],[Intra-school sports 1]:[Intra-school sports 50]])</f>
        <v>0</v>
      </c>
      <c r="N164" s="88">
        <f>SUM(Table167[[#This Row],[Inter School sports 1]:[Inter School sports 50]])</f>
        <v>0</v>
      </c>
      <c r="O164" s="17">
        <f>COUNTIF(Table167[[#This Row],[Community club (type name of club(s). All clubs will count as ''1'']],"*")</f>
        <v>0</v>
      </c>
      <c r="P164" s="17">
        <f>IF(OR(Table167[[#This Row],[Total Challenges]]&gt;0,Table167[[#This Row],[Total Ex-C Clubs]]&gt;0,Table167[[#This Row],[Total Intra-School Sports]]&gt;0,Table167[[#This Row],[Total Inter-School Sports]]&gt;0,Table167[[#This Row],[Community Clubs]]&gt;0),1,0)</f>
        <v>0</v>
      </c>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21"/>
    </row>
    <row r="165" spans="1:218" x14ac:dyDescent="0.25">
      <c r="A165" s="17"/>
      <c r="B165" s="17"/>
      <c r="C165" s="17"/>
      <c r="D165" s="17"/>
      <c r="E165" s="17"/>
      <c r="F165" s="17"/>
      <c r="G165" s="17"/>
      <c r="H165" s="17"/>
      <c r="I165" s="17"/>
      <c r="J165" s="17"/>
      <c r="K165" s="17">
        <f>SUM(Table167[[#This Row],[Challenge 1]:[Challenge 50]])</f>
        <v>0</v>
      </c>
      <c r="L165" s="88">
        <f>SUM(Table167[[#This Row],[Club 1]:[Club 50]])</f>
        <v>0</v>
      </c>
      <c r="M165" s="88">
        <f>SUM(Table167[[#This Row],[Intra-school sports 1]:[Intra-school sports 50]])</f>
        <v>0</v>
      </c>
      <c r="N165" s="88">
        <f>SUM(Table167[[#This Row],[Inter School sports 1]:[Inter School sports 50]])</f>
        <v>0</v>
      </c>
      <c r="O165" s="17">
        <f>COUNTIF(Table167[[#This Row],[Community club (type name of club(s). All clubs will count as ''1'']],"*")</f>
        <v>0</v>
      </c>
      <c r="P165" s="17">
        <f>IF(OR(Table167[[#This Row],[Total Challenges]]&gt;0,Table167[[#This Row],[Total Ex-C Clubs]]&gt;0,Table167[[#This Row],[Total Intra-School Sports]]&gt;0,Table167[[#This Row],[Total Inter-School Sports]]&gt;0,Table167[[#This Row],[Community Clubs]]&gt;0),1,0)</f>
        <v>0</v>
      </c>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21"/>
    </row>
    <row r="166" spans="1:218" x14ac:dyDescent="0.25">
      <c r="A166" s="17"/>
      <c r="B166" s="17"/>
      <c r="C166" s="17"/>
      <c r="D166" s="17"/>
      <c r="E166" s="17"/>
      <c r="F166" s="17"/>
      <c r="G166" s="17"/>
      <c r="H166" s="17"/>
      <c r="I166" s="17"/>
      <c r="J166" s="17"/>
      <c r="K166" s="17">
        <f>SUM(Table167[[#This Row],[Challenge 1]:[Challenge 50]])</f>
        <v>0</v>
      </c>
      <c r="L166" s="88">
        <f>SUM(Table167[[#This Row],[Club 1]:[Club 50]])</f>
        <v>0</v>
      </c>
      <c r="M166" s="88">
        <f>SUM(Table167[[#This Row],[Intra-school sports 1]:[Intra-school sports 50]])</f>
        <v>0</v>
      </c>
      <c r="N166" s="88">
        <f>SUM(Table167[[#This Row],[Inter School sports 1]:[Inter School sports 50]])</f>
        <v>0</v>
      </c>
      <c r="O166" s="17">
        <f>COUNTIF(Table167[[#This Row],[Community club (type name of club(s). All clubs will count as ''1'']],"*")</f>
        <v>0</v>
      </c>
      <c r="P166" s="17">
        <f>IF(OR(Table167[[#This Row],[Total Challenges]]&gt;0,Table167[[#This Row],[Total Ex-C Clubs]]&gt;0,Table167[[#This Row],[Total Intra-School Sports]]&gt;0,Table167[[#This Row],[Total Inter-School Sports]]&gt;0,Table167[[#This Row],[Community Clubs]]&gt;0),1,0)</f>
        <v>0</v>
      </c>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21"/>
    </row>
    <row r="167" spans="1:218" x14ac:dyDescent="0.25">
      <c r="A167" s="17"/>
      <c r="B167" s="17"/>
      <c r="C167" s="17"/>
      <c r="D167" s="17"/>
      <c r="E167" s="17"/>
      <c r="F167" s="17"/>
      <c r="G167" s="17"/>
      <c r="H167" s="17"/>
      <c r="I167" s="17"/>
      <c r="J167" s="17"/>
      <c r="K167" s="17">
        <f>SUM(Table167[[#This Row],[Challenge 1]:[Challenge 50]])</f>
        <v>0</v>
      </c>
      <c r="L167" s="88">
        <f>SUM(Table167[[#This Row],[Club 1]:[Club 50]])</f>
        <v>0</v>
      </c>
      <c r="M167" s="88">
        <f>SUM(Table167[[#This Row],[Intra-school sports 1]:[Intra-school sports 50]])</f>
        <v>0</v>
      </c>
      <c r="N167" s="88">
        <f>SUM(Table167[[#This Row],[Inter School sports 1]:[Inter School sports 50]])</f>
        <v>0</v>
      </c>
      <c r="O167" s="17">
        <f>COUNTIF(Table167[[#This Row],[Community club (type name of club(s). All clubs will count as ''1'']],"*")</f>
        <v>0</v>
      </c>
      <c r="P167" s="17">
        <f>IF(OR(Table167[[#This Row],[Total Challenges]]&gt;0,Table167[[#This Row],[Total Ex-C Clubs]]&gt;0,Table167[[#This Row],[Total Intra-School Sports]]&gt;0,Table167[[#This Row],[Total Inter-School Sports]]&gt;0,Table167[[#This Row],[Community Clubs]]&gt;0),1,0)</f>
        <v>0</v>
      </c>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21"/>
    </row>
    <row r="168" spans="1:218" x14ac:dyDescent="0.25">
      <c r="A168" s="17"/>
      <c r="B168" s="17"/>
      <c r="C168" s="17"/>
      <c r="D168" s="17"/>
      <c r="E168" s="17"/>
      <c r="F168" s="17"/>
      <c r="G168" s="17"/>
      <c r="H168" s="17"/>
      <c r="I168" s="17"/>
      <c r="J168" s="17"/>
      <c r="K168" s="17">
        <f>SUM(Table167[[#This Row],[Challenge 1]:[Challenge 50]])</f>
        <v>0</v>
      </c>
      <c r="L168" s="88">
        <f>SUM(Table167[[#This Row],[Club 1]:[Club 50]])</f>
        <v>0</v>
      </c>
      <c r="M168" s="88">
        <f>SUM(Table167[[#This Row],[Intra-school sports 1]:[Intra-school sports 50]])</f>
        <v>0</v>
      </c>
      <c r="N168" s="88">
        <f>SUM(Table167[[#This Row],[Inter School sports 1]:[Inter School sports 50]])</f>
        <v>0</v>
      </c>
      <c r="O168" s="17">
        <f>COUNTIF(Table167[[#This Row],[Community club (type name of club(s). All clubs will count as ''1'']],"*")</f>
        <v>0</v>
      </c>
      <c r="P168" s="17">
        <f>IF(OR(Table167[[#This Row],[Total Challenges]]&gt;0,Table167[[#This Row],[Total Ex-C Clubs]]&gt;0,Table167[[#This Row],[Total Intra-School Sports]]&gt;0,Table167[[#This Row],[Total Inter-School Sports]]&gt;0,Table167[[#This Row],[Community Clubs]]&gt;0),1,0)</f>
        <v>0</v>
      </c>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21"/>
    </row>
    <row r="169" spans="1:218" x14ac:dyDescent="0.25">
      <c r="K169" s="91">
        <f>SUM(Table167[[#This Row],[Challenge 1]:[Challenge 50]])</f>
        <v>0</v>
      </c>
      <c r="L169" s="2">
        <f>SUM(Table167[[#This Row],[Club 1]:[Club 50]])</f>
        <v>0</v>
      </c>
      <c r="M169" s="2">
        <f>SUM(Table167[[#This Row],[Intra-school sports 1]:[Intra-school sports 50]])</f>
        <v>0</v>
      </c>
      <c r="N169" s="2">
        <f>SUM(Table167[[#This Row],[Inter School sports 1]:[Inter School sports 50]])</f>
        <v>0</v>
      </c>
      <c r="O169" s="91">
        <f>COUNTIF(Table167[[#This Row],[Community club (type name of club(s). All clubs will count as ''1'']],"*")</f>
        <v>0</v>
      </c>
      <c r="P169" s="17">
        <f>IF(OR(Table167[[#This Row],[Total Challenges]]&gt;0,Table167[[#This Row],[Total Ex-C Clubs]]&gt;0,Table167[[#This Row],[Total Intra-School Sports]]&gt;0,Table167[[#This Row],[Total Inter-School Sports]]&gt;0,Table167[[#This Row],[Community Clubs]]&gt;0),1,0)</f>
        <v>0</v>
      </c>
      <c r="HI169"/>
      <c r="HJ169" s="19"/>
    </row>
    <row r="170" spans="1:218" x14ac:dyDescent="0.25">
      <c r="K170" s="91">
        <f>SUM(Table167[[#This Row],[Challenge 1]:[Challenge 50]])</f>
        <v>0</v>
      </c>
      <c r="L170" s="2">
        <f>SUM(Table167[[#This Row],[Club 1]:[Club 50]])</f>
        <v>0</v>
      </c>
      <c r="M170" s="2">
        <f>SUM(Table167[[#This Row],[Intra-school sports 1]:[Intra-school sports 50]])</f>
        <v>0</v>
      </c>
      <c r="N170" s="2">
        <f>SUM(Table167[[#This Row],[Inter School sports 1]:[Inter School sports 50]])</f>
        <v>0</v>
      </c>
      <c r="O170" s="91">
        <f>COUNTIF(Table167[[#This Row],[Community club (type name of club(s). All clubs will count as ''1'']],"*")</f>
        <v>0</v>
      </c>
      <c r="P170" s="17">
        <f>IF(OR(Table167[[#This Row],[Total Challenges]]&gt;0,Table167[[#This Row],[Total Ex-C Clubs]]&gt;0,Table167[[#This Row],[Total Intra-School Sports]]&gt;0,Table167[[#This Row],[Total Inter-School Sports]]&gt;0,Table167[[#This Row],[Community Clubs]]&gt;0),1,0)</f>
        <v>0</v>
      </c>
      <c r="HI170"/>
      <c r="HJ170" s="19"/>
    </row>
    <row r="171" spans="1:218" x14ac:dyDescent="0.25">
      <c r="K171" s="91">
        <f>SUM(Table167[[#This Row],[Challenge 1]:[Challenge 50]])</f>
        <v>0</v>
      </c>
      <c r="L171" s="2">
        <f>SUM(Table167[[#This Row],[Club 1]:[Club 50]])</f>
        <v>0</v>
      </c>
      <c r="M171" s="2">
        <f>SUM(Table167[[#This Row],[Intra-school sports 1]:[Intra-school sports 50]])</f>
        <v>0</v>
      </c>
      <c r="N171" s="2">
        <f>SUM(Table167[[#This Row],[Inter School sports 1]:[Inter School sports 50]])</f>
        <v>0</v>
      </c>
      <c r="O171" s="91">
        <f>COUNTIF(Table167[[#This Row],[Community club (type name of club(s). All clubs will count as ''1'']],"*")</f>
        <v>0</v>
      </c>
      <c r="P171" s="17">
        <f>IF(OR(Table167[[#This Row],[Total Challenges]]&gt;0,Table167[[#This Row],[Total Ex-C Clubs]]&gt;0,Table167[[#This Row],[Total Intra-School Sports]]&gt;0,Table167[[#This Row],[Total Inter-School Sports]]&gt;0,Table167[[#This Row],[Community Clubs]]&gt;0),1,0)</f>
        <v>0</v>
      </c>
      <c r="HI171"/>
      <c r="HJ171" s="19"/>
    </row>
    <row r="172" spans="1:218" x14ac:dyDescent="0.25">
      <c r="K172" s="91">
        <f>SUM(Table167[[#This Row],[Challenge 1]:[Challenge 50]])</f>
        <v>0</v>
      </c>
      <c r="L172" s="2">
        <f>SUM(Table167[[#This Row],[Club 1]:[Club 50]])</f>
        <v>0</v>
      </c>
      <c r="M172" s="2">
        <f>SUM(Table167[[#This Row],[Intra-school sports 1]:[Intra-school sports 50]])</f>
        <v>0</v>
      </c>
      <c r="N172" s="2">
        <f>SUM(Table167[[#This Row],[Inter School sports 1]:[Inter School sports 50]])</f>
        <v>0</v>
      </c>
      <c r="O172" s="91">
        <f>COUNTIF(Table167[[#This Row],[Community club (type name of club(s). All clubs will count as ''1'']],"*")</f>
        <v>0</v>
      </c>
      <c r="P172" s="17">
        <f>IF(OR(Table167[[#This Row],[Total Challenges]]&gt;0,Table167[[#This Row],[Total Ex-C Clubs]]&gt;0,Table167[[#This Row],[Total Intra-School Sports]]&gt;0,Table167[[#This Row],[Total Inter-School Sports]]&gt;0,Table167[[#This Row],[Community Clubs]]&gt;0),1,0)</f>
        <v>0</v>
      </c>
      <c r="HI172"/>
      <c r="HJ172" s="19"/>
    </row>
    <row r="173" spans="1:218" x14ac:dyDescent="0.25">
      <c r="K173" s="91">
        <f>SUM(Table167[[#This Row],[Challenge 1]:[Challenge 50]])</f>
        <v>0</v>
      </c>
      <c r="L173" s="2">
        <f>SUM(Table167[[#This Row],[Club 1]:[Club 50]])</f>
        <v>0</v>
      </c>
      <c r="M173" s="2">
        <f>SUM(Table167[[#This Row],[Intra-school sports 1]:[Intra-school sports 50]])</f>
        <v>0</v>
      </c>
      <c r="N173" s="2">
        <f>SUM(Table167[[#This Row],[Inter School sports 1]:[Inter School sports 50]])</f>
        <v>0</v>
      </c>
      <c r="O173" s="91">
        <f>COUNTIF(Table167[[#This Row],[Community club (type name of club(s). All clubs will count as ''1'']],"*")</f>
        <v>0</v>
      </c>
      <c r="P173" s="17">
        <f>IF(OR(Table167[[#This Row],[Total Challenges]]&gt;0,Table167[[#This Row],[Total Ex-C Clubs]]&gt;0,Table167[[#This Row],[Total Intra-School Sports]]&gt;0,Table167[[#This Row],[Total Inter-School Sports]]&gt;0,Table167[[#This Row],[Community Clubs]]&gt;0),1,0)</f>
        <v>0</v>
      </c>
      <c r="HI173"/>
      <c r="HJ173" s="19"/>
    </row>
    <row r="174" spans="1:218" x14ac:dyDescent="0.25">
      <c r="K174" s="91">
        <f>SUM(Table167[[#This Row],[Challenge 1]:[Challenge 50]])</f>
        <v>0</v>
      </c>
      <c r="L174" s="2">
        <f>SUM(Table167[[#This Row],[Club 1]:[Club 50]])</f>
        <v>0</v>
      </c>
      <c r="M174" s="2">
        <f>SUM(Table167[[#This Row],[Intra-school sports 1]:[Intra-school sports 50]])</f>
        <v>0</v>
      </c>
      <c r="N174" s="2">
        <f>SUM(Table167[[#This Row],[Inter School sports 1]:[Inter School sports 50]])</f>
        <v>0</v>
      </c>
      <c r="O174" s="91">
        <f>COUNTIF(Table167[[#This Row],[Community club (type name of club(s). All clubs will count as ''1'']],"*")</f>
        <v>0</v>
      </c>
      <c r="P174" s="17">
        <f>IF(OR(Table167[[#This Row],[Total Challenges]]&gt;0,Table167[[#This Row],[Total Ex-C Clubs]]&gt;0,Table167[[#This Row],[Total Intra-School Sports]]&gt;0,Table167[[#This Row],[Total Inter-School Sports]]&gt;0,Table167[[#This Row],[Community Clubs]]&gt;0),1,0)</f>
        <v>0</v>
      </c>
      <c r="HI174"/>
      <c r="HJ174" s="19"/>
    </row>
    <row r="175" spans="1:218" x14ac:dyDescent="0.25">
      <c r="K175" s="91">
        <f>SUM(Table167[[#This Row],[Challenge 1]:[Challenge 50]])</f>
        <v>0</v>
      </c>
      <c r="L175" s="2">
        <f>SUM(Table167[[#This Row],[Club 1]:[Club 50]])</f>
        <v>0</v>
      </c>
      <c r="M175" s="2">
        <f>SUM(Table167[[#This Row],[Intra-school sports 1]:[Intra-school sports 50]])</f>
        <v>0</v>
      </c>
      <c r="N175" s="2">
        <f>SUM(Table167[[#This Row],[Inter School sports 1]:[Inter School sports 50]])</f>
        <v>0</v>
      </c>
      <c r="O175" s="91">
        <f>COUNTIF(Table167[[#This Row],[Community club (type name of club(s). All clubs will count as ''1'']],"*")</f>
        <v>0</v>
      </c>
      <c r="P175" s="17">
        <f>IF(OR(Table167[[#This Row],[Total Challenges]]&gt;0,Table167[[#This Row],[Total Ex-C Clubs]]&gt;0,Table167[[#This Row],[Total Intra-School Sports]]&gt;0,Table167[[#This Row],[Total Inter-School Sports]]&gt;0,Table167[[#This Row],[Community Clubs]]&gt;0),1,0)</f>
        <v>0</v>
      </c>
      <c r="HI175"/>
      <c r="HJ175" s="19"/>
    </row>
    <row r="176" spans="1:218" x14ac:dyDescent="0.25">
      <c r="K176" s="91">
        <f>SUM(Table167[[#This Row],[Challenge 1]:[Challenge 50]])</f>
        <v>0</v>
      </c>
      <c r="L176" s="2">
        <f>SUM(Table167[[#This Row],[Club 1]:[Club 50]])</f>
        <v>0</v>
      </c>
      <c r="M176" s="2">
        <f>SUM(Table167[[#This Row],[Intra-school sports 1]:[Intra-school sports 50]])</f>
        <v>0</v>
      </c>
      <c r="N176" s="2">
        <f>SUM(Table167[[#This Row],[Inter School sports 1]:[Inter School sports 50]])</f>
        <v>0</v>
      </c>
      <c r="O176" s="91">
        <f>COUNTIF(Table167[[#This Row],[Community club (type name of club(s). All clubs will count as ''1'']],"*")</f>
        <v>0</v>
      </c>
      <c r="P176" s="17">
        <f>IF(OR(Table167[[#This Row],[Total Challenges]]&gt;0,Table167[[#This Row],[Total Ex-C Clubs]]&gt;0,Table167[[#This Row],[Total Intra-School Sports]]&gt;0,Table167[[#This Row],[Total Inter-School Sports]]&gt;0,Table167[[#This Row],[Community Clubs]]&gt;0),1,0)</f>
        <v>0</v>
      </c>
      <c r="HI176"/>
      <c r="HJ176" s="19"/>
    </row>
    <row r="177" spans="11:218" x14ac:dyDescent="0.25">
      <c r="K177" s="91">
        <f>SUM(Table167[[#This Row],[Challenge 1]:[Challenge 50]])</f>
        <v>0</v>
      </c>
      <c r="L177" s="2">
        <f>SUM(Table167[[#This Row],[Club 1]:[Club 50]])</f>
        <v>0</v>
      </c>
      <c r="M177" s="2">
        <f>SUM(Table167[[#This Row],[Intra-school sports 1]:[Intra-school sports 50]])</f>
        <v>0</v>
      </c>
      <c r="N177" s="2">
        <f>SUM(Table167[[#This Row],[Inter School sports 1]:[Inter School sports 50]])</f>
        <v>0</v>
      </c>
      <c r="O177" s="91">
        <f>COUNTIF(Table167[[#This Row],[Community club (type name of club(s). All clubs will count as ''1'']],"*")</f>
        <v>0</v>
      </c>
      <c r="P177" s="17">
        <f>IF(OR(Table167[[#This Row],[Total Challenges]]&gt;0,Table167[[#This Row],[Total Ex-C Clubs]]&gt;0,Table167[[#This Row],[Total Intra-School Sports]]&gt;0,Table167[[#This Row],[Total Inter-School Sports]]&gt;0,Table167[[#This Row],[Community Clubs]]&gt;0),1,0)</f>
        <v>0</v>
      </c>
      <c r="HI177"/>
      <c r="HJ177" s="19"/>
    </row>
    <row r="178" spans="11:218" x14ac:dyDescent="0.25">
      <c r="K178" s="91">
        <f>SUM(Table167[[#This Row],[Challenge 1]:[Challenge 50]])</f>
        <v>0</v>
      </c>
      <c r="L178" s="2">
        <f>SUM(Table167[[#This Row],[Club 1]:[Club 50]])</f>
        <v>0</v>
      </c>
      <c r="M178" s="2">
        <f>SUM(Table167[[#This Row],[Intra-school sports 1]:[Intra-school sports 50]])</f>
        <v>0</v>
      </c>
      <c r="N178" s="2">
        <f>SUM(Table167[[#This Row],[Inter School sports 1]:[Inter School sports 50]])</f>
        <v>0</v>
      </c>
      <c r="O178" s="91">
        <f>COUNTIF(Table167[[#This Row],[Community club (type name of club(s). All clubs will count as ''1'']],"*")</f>
        <v>0</v>
      </c>
      <c r="P178" s="17">
        <f>IF(OR(Table167[[#This Row],[Total Challenges]]&gt;0,Table167[[#This Row],[Total Ex-C Clubs]]&gt;0,Table167[[#This Row],[Total Intra-School Sports]]&gt;0,Table167[[#This Row],[Total Inter-School Sports]]&gt;0,Table167[[#This Row],[Community Clubs]]&gt;0),1,0)</f>
        <v>0</v>
      </c>
      <c r="HI178"/>
      <c r="HJ178" s="19"/>
    </row>
    <row r="179" spans="11:218" x14ac:dyDescent="0.25">
      <c r="K179" s="91">
        <f>SUM(Table167[[#This Row],[Challenge 1]:[Challenge 50]])</f>
        <v>0</v>
      </c>
      <c r="L179" s="2">
        <f>SUM(Table167[[#This Row],[Club 1]:[Club 50]])</f>
        <v>0</v>
      </c>
      <c r="M179" s="2">
        <f>SUM(Table167[[#This Row],[Intra-school sports 1]:[Intra-school sports 50]])</f>
        <v>0</v>
      </c>
      <c r="N179" s="2">
        <f>SUM(Table167[[#This Row],[Inter School sports 1]:[Inter School sports 50]])</f>
        <v>0</v>
      </c>
      <c r="O179" s="91">
        <f>COUNTIF(Table167[[#This Row],[Community club (type name of club(s). All clubs will count as ''1'']],"*")</f>
        <v>0</v>
      </c>
      <c r="P179" s="17">
        <f>IF(OR(Table167[[#This Row],[Total Challenges]]&gt;0,Table167[[#This Row],[Total Ex-C Clubs]]&gt;0,Table167[[#This Row],[Total Intra-School Sports]]&gt;0,Table167[[#This Row],[Total Inter-School Sports]]&gt;0,Table167[[#This Row],[Community Clubs]]&gt;0),1,0)</f>
        <v>0</v>
      </c>
      <c r="HI179"/>
      <c r="HJ179" s="19"/>
    </row>
    <row r="180" spans="11:218" x14ac:dyDescent="0.25">
      <c r="K180" s="91">
        <f>SUM(Table167[[#This Row],[Challenge 1]:[Challenge 50]])</f>
        <v>0</v>
      </c>
      <c r="L180" s="2">
        <f>SUM(Table167[[#This Row],[Club 1]:[Club 50]])</f>
        <v>0</v>
      </c>
      <c r="M180" s="2">
        <f>SUM(Table167[[#This Row],[Intra-school sports 1]:[Intra-school sports 50]])</f>
        <v>0</v>
      </c>
      <c r="N180" s="2">
        <f>SUM(Table167[[#This Row],[Inter School sports 1]:[Inter School sports 50]])</f>
        <v>0</v>
      </c>
      <c r="O180" s="91">
        <f>COUNTIF(Table167[[#This Row],[Community club (type name of club(s). All clubs will count as ''1'']],"*")</f>
        <v>0</v>
      </c>
      <c r="P180" s="17">
        <f>IF(OR(Table167[[#This Row],[Total Challenges]]&gt;0,Table167[[#This Row],[Total Ex-C Clubs]]&gt;0,Table167[[#This Row],[Total Intra-School Sports]]&gt;0,Table167[[#This Row],[Total Inter-School Sports]]&gt;0,Table167[[#This Row],[Community Clubs]]&gt;0),1,0)</f>
        <v>0</v>
      </c>
      <c r="HI180"/>
      <c r="HJ180" s="19"/>
    </row>
    <row r="181" spans="11:218" x14ac:dyDescent="0.25">
      <c r="K181" s="91">
        <f>SUM(Table167[[#This Row],[Challenge 1]:[Challenge 50]])</f>
        <v>0</v>
      </c>
      <c r="L181" s="2">
        <f>SUM(Table167[[#This Row],[Club 1]:[Club 50]])</f>
        <v>0</v>
      </c>
      <c r="M181" s="2">
        <f>SUM(Table167[[#This Row],[Intra-school sports 1]:[Intra-school sports 50]])</f>
        <v>0</v>
      </c>
      <c r="N181" s="2">
        <f>SUM(Table167[[#This Row],[Inter School sports 1]:[Inter School sports 50]])</f>
        <v>0</v>
      </c>
      <c r="O181" s="91">
        <f>COUNTIF(Table167[[#This Row],[Community club (type name of club(s). All clubs will count as ''1'']],"*")</f>
        <v>0</v>
      </c>
      <c r="P181" s="17">
        <f>IF(OR(Table167[[#This Row],[Total Challenges]]&gt;0,Table167[[#This Row],[Total Ex-C Clubs]]&gt;0,Table167[[#This Row],[Total Intra-School Sports]]&gt;0,Table167[[#This Row],[Total Inter-School Sports]]&gt;0,Table167[[#This Row],[Community Clubs]]&gt;0),1,0)</f>
        <v>0</v>
      </c>
      <c r="HI181"/>
      <c r="HJ181" s="19"/>
    </row>
    <row r="182" spans="11:218" x14ac:dyDescent="0.25">
      <c r="K182" s="91">
        <f>SUM(Table167[[#This Row],[Challenge 1]:[Challenge 50]])</f>
        <v>0</v>
      </c>
      <c r="L182" s="2">
        <f>SUM(Table167[[#This Row],[Club 1]:[Club 50]])</f>
        <v>0</v>
      </c>
      <c r="M182" s="2">
        <f>SUM(Table167[[#This Row],[Intra-school sports 1]:[Intra-school sports 50]])</f>
        <v>0</v>
      </c>
      <c r="N182" s="2">
        <f>SUM(Table167[[#This Row],[Inter School sports 1]:[Inter School sports 50]])</f>
        <v>0</v>
      </c>
      <c r="O182" s="91">
        <f>COUNTIF(Table167[[#This Row],[Community club (type name of club(s). All clubs will count as ''1'']],"*")</f>
        <v>0</v>
      </c>
      <c r="P182" s="17">
        <f>IF(OR(Table167[[#This Row],[Total Challenges]]&gt;0,Table167[[#This Row],[Total Ex-C Clubs]]&gt;0,Table167[[#This Row],[Total Intra-School Sports]]&gt;0,Table167[[#This Row],[Total Inter-School Sports]]&gt;0,Table167[[#This Row],[Community Clubs]]&gt;0),1,0)</f>
        <v>0</v>
      </c>
      <c r="HI182"/>
      <c r="HJ182" s="19"/>
    </row>
    <row r="183" spans="11:218" x14ac:dyDescent="0.25">
      <c r="K183" s="91">
        <f>SUM(Table167[[#This Row],[Challenge 1]:[Challenge 50]])</f>
        <v>0</v>
      </c>
      <c r="L183" s="2">
        <f>SUM(Table167[[#This Row],[Club 1]:[Club 50]])</f>
        <v>0</v>
      </c>
      <c r="M183" s="2">
        <f>SUM(Table167[[#This Row],[Intra-school sports 1]:[Intra-school sports 50]])</f>
        <v>0</v>
      </c>
      <c r="N183" s="2">
        <f>SUM(Table167[[#This Row],[Inter School sports 1]:[Inter School sports 50]])</f>
        <v>0</v>
      </c>
      <c r="O183" s="91">
        <f>COUNTIF(Table167[[#This Row],[Community club (type name of club(s). All clubs will count as ''1'']],"*")</f>
        <v>0</v>
      </c>
      <c r="P183" s="17">
        <f>IF(OR(Table167[[#This Row],[Total Challenges]]&gt;0,Table167[[#This Row],[Total Ex-C Clubs]]&gt;0,Table167[[#This Row],[Total Intra-School Sports]]&gt;0,Table167[[#This Row],[Total Inter-School Sports]]&gt;0,Table167[[#This Row],[Community Clubs]]&gt;0),1,0)</f>
        <v>0</v>
      </c>
      <c r="HI183"/>
      <c r="HJ183" s="19"/>
    </row>
    <row r="184" spans="11:218" x14ac:dyDescent="0.25">
      <c r="K184" s="91">
        <f>SUM(Table167[[#This Row],[Challenge 1]:[Challenge 50]])</f>
        <v>0</v>
      </c>
      <c r="L184" s="2">
        <f>SUM(Table167[[#This Row],[Club 1]:[Club 50]])</f>
        <v>0</v>
      </c>
      <c r="M184" s="2">
        <f>SUM(Table167[[#This Row],[Intra-school sports 1]:[Intra-school sports 50]])</f>
        <v>0</v>
      </c>
      <c r="N184" s="2">
        <f>SUM(Table167[[#This Row],[Inter School sports 1]:[Inter School sports 50]])</f>
        <v>0</v>
      </c>
      <c r="O184" s="91">
        <f>COUNTIF(Table167[[#This Row],[Community club (type name of club(s). All clubs will count as ''1'']],"*")</f>
        <v>0</v>
      </c>
      <c r="P184" s="17">
        <f>IF(OR(Table167[[#This Row],[Total Challenges]]&gt;0,Table167[[#This Row],[Total Ex-C Clubs]]&gt;0,Table167[[#This Row],[Total Intra-School Sports]]&gt;0,Table167[[#This Row],[Total Inter-School Sports]]&gt;0,Table167[[#This Row],[Community Clubs]]&gt;0),1,0)</f>
        <v>0</v>
      </c>
      <c r="HI184"/>
      <c r="HJ184" s="19"/>
    </row>
    <row r="185" spans="11:218" x14ac:dyDescent="0.25">
      <c r="K185" s="91">
        <f>SUM(Table167[[#This Row],[Challenge 1]:[Challenge 50]])</f>
        <v>0</v>
      </c>
      <c r="L185" s="2">
        <f>SUM(Table167[[#This Row],[Club 1]:[Club 50]])</f>
        <v>0</v>
      </c>
      <c r="M185" s="2">
        <f>SUM(Table167[[#This Row],[Intra-school sports 1]:[Intra-school sports 50]])</f>
        <v>0</v>
      </c>
      <c r="N185" s="2">
        <f>SUM(Table167[[#This Row],[Inter School sports 1]:[Inter School sports 50]])</f>
        <v>0</v>
      </c>
      <c r="O185" s="91">
        <f>COUNTIF(Table167[[#This Row],[Community club (type name of club(s). All clubs will count as ''1'']],"*")</f>
        <v>0</v>
      </c>
      <c r="P185" s="17">
        <f>IF(OR(Table167[[#This Row],[Total Challenges]]&gt;0,Table167[[#This Row],[Total Ex-C Clubs]]&gt;0,Table167[[#This Row],[Total Intra-School Sports]]&gt;0,Table167[[#This Row],[Total Inter-School Sports]]&gt;0,Table167[[#This Row],[Community Clubs]]&gt;0),1,0)</f>
        <v>0</v>
      </c>
      <c r="HI185"/>
      <c r="HJ185" s="19"/>
    </row>
    <row r="186" spans="11:218" x14ac:dyDescent="0.25">
      <c r="K186" s="91">
        <f>SUM(Table167[[#This Row],[Challenge 1]:[Challenge 50]])</f>
        <v>0</v>
      </c>
      <c r="L186" s="2">
        <f>SUM(Table167[[#This Row],[Club 1]:[Club 50]])</f>
        <v>0</v>
      </c>
      <c r="M186" s="2">
        <f>SUM(Table167[[#This Row],[Intra-school sports 1]:[Intra-school sports 50]])</f>
        <v>0</v>
      </c>
      <c r="N186" s="2">
        <f>SUM(Table167[[#This Row],[Inter School sports 1]:[Inter School sports 50]])</f>
        <v>0</v>
      </c>
      <c r="O186" s="91">
        <f>COUNTIF(Table167[[#This Row],[Community club (type name of club(s). All clubs will count as ''1'']],"*")</f>
        <v>0</v>
      </c>
      <c r="P186" s="17">
        <f>IF(OR(Table167[[#This Row],[Total Challenges]]&gt;0,Table167[[#This Row],[Total Ex-C Clubs]]&gt;0,Table167[[#This Row],[Total Intra-School Sports]]&gt;0,Table167[[#This Row],[Total Inter-School Sports]]&gt;0,Table167[[#This Row],[Community Clubs]]&gt;0),1,0)</f>
        <v>0</v>
      </c>
      <c r="HI186"/>
      <c r="HJ186" s="19"/>
    </row>
    <row r="187" spans="11:218" x14ac:dyDescent="0.25">
      <c r="K187" s="91">
        <f>SUM(Table167[[#This Row],[Challenge 1]:[Challenge 50]])</f>
        <v>0</v>
      </c>
      <c r="L187" s="2">
        <f>SUM(Table167[[#This Row],[Club 1]:[Club 50]])</f>
        <v>0</v>
      </c>
      <c r="M187" s="2">
        <f>SUM(Table167[[#This Row],[Intra-school sports 1]:[Intra-school sports 50]])</f>
        <v>0</v>
      </c>
      <c r="N187" s="2">
        <f>SUM(Table167[[#This Row],[Inter School sports 1]:[Inter School sports 50]])</f>
        <v>0</v>
      </c>
      <c r="O187" s="91">
        <f>COUNTIF(Table167[[#This Row],[Community club (type name of club(s). All clubs will count as ''1'']],"*")</f>
        <v>0</v>
      </c>
      <c r="P187" s="17">
        <f>IF(OR(Table167[[#This Row],[Total Challenges]]&gt;0,Table167[[#This Row],[Total Ex-C Clubs]]&gt;0,Table167[[#This Row],[Total Intra-School Sports]]&gt;0,Table167[[#This Row],[Total Inter-School Sports]]&gt;0,Table167[[#This Row],[Community Clubs]]&gt;0),1,0)</f>
        <v>0</v>
      </c>
      <c r="HI187"/>
      <c r="HJ187" s="19"/>
    </row>
    <row r="188" spans="11:218" x14ac:dyDescent="0.25">
      <c r="K188" s="91">
        <f>SUM(Table167[[#This Row],[Challenge 1]:[Challenge 50]])</f>
        <v>0</v>
      </c>
      <c r="L188" s="2">
        <f>SUM(Table167[[#This Row],[Club 1]:[Club 50]])</f>
        <v>0</v>
      </c>
      <c r="M188" s="2">
        <f>SUM(Table167[[#This Row],[Intra-school sports 1]:[Intra-school sports 50]])</f>
        <v>0</v>
      </c>
      <c r="N188" s="2">
        <f>SUM(Table167[[#This Row],[Inter School sports 1]:[Inter School sports 50]])</f>
        <v>0</v>
      </c>
      <c r="O188" s="91">
        <f>COUNTIF(Table167[[#This Row],[Community club (type name of club(s). All clubs will count as ''1'']],"*")</f>
        <v>0</v>
      </c>
      <c r="P188" s="17">
        <f>IF(OR(Table167[[#This Row],[Total Challenges]]&gt;0,Table167[[#This Row],[Total Ex-C Clubs]]&gt;0,Table167[[#This Row],[Total Intra-School Sports]]&gt;0,Table167[[#This Row],[Total Inter-School Sports]]&gt;0,Table167[[#This Row],[Community Clubs]]&gt;0),1,0)</f>
        <v>0</v>
      </c>
      <c r="HI188"/>
      <c r="HJ188" s="19"/>
    </row>
    <row r="189" spans="11:218" x14ac:dyDescent="0.25">
      <c r="K189" s="91">
        <f>SUM(Table167[[#This Row],[Challenge 1]:[Challenge 50]])</f>
        <v>0</v>
      </c>
      <c r="L189" s="2">
        <f>SUM(Table167[[#This Row],[Club 1]:[Club 50]])</f>
        <v>0</v>
      </c>
      <c r="M189" s="2">
        <f>SUM(Table167[[#This Row],[Intra-school sports 1]:[Intra-school sports 50]])</f>
        <v>0</v>
      </c>
      <c r="N189" s="2">
        <f>SUM(Table167[[#This Row],[Inter School sports 1]:[Inter School sports 50]])</f>
        <v>0</v>
      </c>
      <c r="O189" s="91">
        <f>COUNTIF(Table167[[#This Row],[Community club (type name of club(s). All clubs will count as ''1'']],"*")</f>
        <v>0</v>
      </c>
      <c r="P189" s="17">
        <f>IF(OR(Table167[[#This Row],[Total Challenges]]&gt;0,Table167[[#This Row],[Total Ex-C Clubs]]&gt;0,Table167[[#This Row],[Total Intra-School Sports]]&gt;0,Table167[[#This Row],[Total Inter-School Sports]]&gt;0,Table167[[#This Row],[Community Clubs]]&gt;0),1,0)</f>
        <v>0</v>
      </c>
      <c r="HI189"/>
      <c r="HJ189" s="19"/>
    </row>
    <row r="190" spans="11:218" x14ac:dyDescent="0.25">
      <c r="K190" s="91">
        <f>SUM(Table167[[#This Row],[Challenge 1]:[Challenge 50]])</f>
        <v>0</v>
      </c>
      <c r="L190" s="2">
        <f>SUM(Table167[[#This Row],[Club 1]:[Club 50]])</f>
        <v>0</v>
      </c>
      <c r="M190" s="2">
        <f>SUM(Table167[[#This Row],[Intra-school sports 1]:[Intra-school sports 50]])</f>
        <v>0</v>
      </c>
      <c r="N190" s="2">
        <f>SUM(Table167[[#This Row],[Inter School sports 1]:[Inter School sports 50]])</f>
        <v>0</v>
      </c>
      <c r="O190" s="91">
        <f>COUNTIF(Table167[[#This Row],[Community club (type name of club(s). All clubs will count as ''1'']],"*")</f>
        <v>0</v>
      </c>
      <c r="P190" s="17">
        <f>IF(OR(Table167[[#This Row],[Total Challenges]]&gt;0,Table167[[#This Row],[Total Ex-C Clubs]]&gt;0,Table167[[#This Row],[Total Intra-School Sports]]&gt;0,Table167[[#This Row],[Total Inter-School Sports]]&gt;0,Table167[[#This Row],[Community Clubs]]&gt;0),1,0)</f>
        <v>0</v>
      </c>
      <c r="HI190"/>
      <c r="HJ190" s="19"/>
    </row>
    <row r="191" spans="11:218" x14ac:dyDescent="0.25">
      <c r="K191" s="91">
        <f>SUM(Table167[[#This Row],[Challenge 1]:[Challenge 50]])</f>
        <v>0</v>
      </c>
      <c r="L191" s="2">
        <f>SUM(Table167[[#This Row],[Club 1]:[Club 50]])</f>
        <v>0</v>
      </c>
      <c r="M191" s="2">
        <f>SUM(Table167[[#This Row],[Intra-school sports 1]:[Intra-school sports 50]])</f>
        <v>0</v>
      </c>
      <c r="N191" s="2">
        <f>SUM(Table167[[#This Row],[Inter School sports 1]:[Inter School sports 50]])</f>
        <v>0</v>
      </c>
      <c r="O191" s="91">
        <f>COUNTIF(Table167[[#This Row],[Community club (type name of club(s). All clubs will count as ''1'']],"*")</f>
        <v>0</v>
      </c>
      <c r="P191" s="17">
        <f>IF(OR(Table167[[#This Row],[Total Challenges]]&gt;0,Table167[[#This Row],[Total Ex-C Clubs]]&gt;0,Table167[[#This Row],[Total Intra-School Sports]]&gt;0,Table167[[#This Row],[Total Inter-School Sports]]&gt;0,Table167[[#This Row],[Community Clubs]]&gt;0),1,0)</f>
        <v>0</v>
      </c>
      <c r="HI191"/>
      <c r="HJ191" s="19"/>
    </row>
    <row r="192" spans="11:218" x14ac:dyDescent="0.25">
      <c r="K192" s="91">
        <f>SUM(Table167[[#This Row],[Challenge 1]:[Challenge 50]])</f>
        <v>0</v>
      </c>
      <c r="L192" s="2">
        <f>SUM(Table167[[#This Row],[Club 1]:[Club 50]])</f>
        <v>0</v>
      </c>
      <c r="M192" s="2">
        <f>SUM(Table167[[#This Row],[Intra-school sports 1]:[Intra-school sports 50]])</f>
        <v>0</v>
      </c>
      <c r="N192" s="2">
        <f>SUM(Table167[[#This Row],[Inter School sports 1]:[Inter School sports 50]])</f>
        <v>0</v>
      </c>
      <c r="O192" s="91">
        <f>COUNTIF(Table167[[#This Row],[Community club (type name of club(s). All clubs will count as ''1'']],"*")</f>
        <v>0</v>
      </c>
      <c r="P192" s="17">
        <f>IF(OR(Table167[[#This Row],[Total Challenges]]&gt;0,Table167[[#This Row],[Total Ex-C Clubs]]&gt;0,Table167[[#This Row],[Total Intra-School Sports]]&gt;0,Table167[[#This Row],[Total Inter-School Sports]]&gt;0,Table167[[#This Row],[Community Clubs]]&gt;0),1,0)</f>
        <v>0</v>
      </c>
      <c r="HI192"/>
      <c r="HJ192" s="19"/>
    </row>
    <row r="193" spans="11:218" x14ac:dyDescent="0.25">
      <c r="K193" s="91">
        <f>SUM(Table167[[#This Row],[Challenge 1]:[Challenge 50]])</f>
        <v>0</v>
      </c>
      <c r="L193" s="2">
        <f>SUM(Table167[[#This Row],[Club 1]:[Club 50]])</f>
        <v>0</v>
      </c>
      <c r="M193" s="2">
        <f>SUM(Table167[[#This Row],[Intra-school sports 1]:[Intra-school sports 50]])</f>
        <v>0</v>
      </c>
      <c r="N193" s="2">
        <f>SUM(Table167[[#This Row],[Inter School sports 1]:[Inter School sports 50]])</f>
        <v>0</v>
      </c>
      <c r="O193" s="91">
        <f>COUNTIF(Table167[[#This Row],[Community club (type name of club(s). All clubs will count as ''1'']],"*")</f>
        <v>0</v>
      </c>
      <c r="P193" s="17">
        <f>IF(OR(Table167[[#This Row],[Total Challenges]]&gt;0,Table167[[#This Row],[Total Ex-C Clubs]]&gt;0,Table167[[#This Row],[Total Intra-School Sports]]&gt;0,Table167[[#This Row],[Total Inter-School Sports]]&gt;0,Table167[[#This Row],[Community Clubs]]&gt;0),1,0)</f>
        <v>0</v>
      </c>
      <c r="HI193"/>
      <c r="HJ193" s="19"/>
    </row>
    <row r="194" spans="11:218" x14ac:dyDescent="0.25">
      <c r="K194" s="91">
        <f>SUM(Table167[[#This Row],[Challenge 1]:[Challenge 50]])</f>
        <v>0</v>
      </c>
      <c r="L194" s="2">
        <f>SUM(Table167[[#This Row],[Club 1]:[Club 50]])</f>
        <v>0</v>
      </c>
      <c r="M194" s="2">
        <f>SUM(Table167[[#This Row],[Intra-school sports 1]:[Intra-school sports 50]])</f>
        <v>0</v>
      </c>
      <c r="N194" s="2">
        <f>SUM(Table167[[#This Row],[Inter School sports 1]:[Inter School sports 50]])</f>
        <v>0</v>
      </c>
      <c r="O194" s="91">
        <f>COUNTIF(Table167[[#This Row],[Community club (type name of club(s). All clubs will count as ''1'']],"*")</f>
        <v>0</v>
      </c>
      <c r="P194" s="17">
        <f>IF(OR(Table167[[#This Row],[Total Challenges]]&gt;0,Table167[[#This Row],[Total Ex-C Clubs]]&gt;0,Table167[[#This Row],[Total Intra-School Sports]]&gt;0,Table167[[#This Row],[Total Inter-School Sports]]&gt;0,Table167[[#This Row],[Community Clubs]]&gt;0),1,0)</f>
        <v>0</v>
      </c>
      <c r="HI194"/>
      <c r="HJ194" s="19"/>
    </row>
    <row r="195" spans="11:218" x14ac:dyDescent="0.25">
      <c r="K195" s="91">
        <f>SUM(Table167[[#This Row],[Challenge 1]:[Challenge 50]])</f>
        <v>0</v>
      </c>
      <c r="L195" s="2">
        <f>SUM(Table167[[#This Row],[Club 1]:[Club 50]])</f>
        <v>0</v>
      </c>
      <c r="M195" s="2">
        <f>SUM(Table167[[#This Row],[Intra-school sports 1]:[Intra-school sports 50]])</f>
        <v>0</v>
      </c>
      <c r="N195" s="2">
        <f>SUM(Table167[[#This Row],[Inter School sports 1]:[Inter School sports 50]])</f>
        <v>0</v>
      </c>
      <c r="O195" s="91">
        <f>COUNTIF(Table167[[#This Row],[Community club (type name of club(s). All clubs will count as ''1'']],"*")</f>
        <v>0</v>
      </c>
      <c r="P195" s="17">
        <f>IF(OR(Table167[[#This Row],[Total Challenges]]&gt;0,Table167[[#This Row],[Total Ex-C Clubs]]&gt;0,Table167[[#This Row],[Total Intra-School Sports]]&gt;0,Table167[[#This Row],[Total Inter-School Sports]]&gt;0,Table167[[#This Row],[Community Clubs]]&gt;0),1,0)</f>
        <v>0</v>
      </c>
      <c r="HI195"/>
      <c r="HJ195" s="19"/>
    </row>
    <row r="196" spans="11:218" x14ac:dyDescent="0.25">
      <c r="K196" s="91">
        <f>SUM(Table167[[#This Row],[Challenge 1]:[Challenge 50]])</f>
        <v>0</v>
      </c>
      <c r="L196" s="2">
        <f>SUM(Table167[[#This Row],[Club 1]:[Club 50]])</f>
        <v>0</v>
      </c>
      <c r="M196" s="2">
        <f>SUM(Table167[[#This Row],[Intra-school sports 1]:[Intra-school sports 50]])</f>
        <v>0</v>
      </c>
      <c r="N196" s="2">
        <f>SUM(Table167[[#This Row],[Inter School sports 1]:[Inter School sports 50]])</f>
        <v>0</v>
      </c>
      <c r="O196" s="91">
        <f>COUNTIF(Table167[[#This Row],[Community club (type name of club(s). All clubs will count as ''1'']],"*")</f>
        <v>0</v>
      </c>
      <c r="P196" s="17">
        <f>IF(OR(Table167[[#This Row],[Total Challenges]]&gt;0,Table167[[#This Row],[Total Ex-C Clubs]]&gt;0,Table167[[#This Row],[Total Intra-School Sports]]&gt;0,Table167[[#This Row],[Total Inter-School Sports]]&gt;0,Table167[[#This Row],[Community Clubs]]&gt;0),1,0)</f>
        <v>0</v>
      </c>
      <c r="HI196"/>
      <c r="HJ196" s="19"/>
    </row>
    <row r="197" spans="11:218" x14ac:dyDescent="0.25">
      <c r="K197" s="91">
        <f>SUM(Table167[[#This Row],[Challenge 1]:[Challenge 50]])</f>
        <v>0</v>
      </c>
      <c r="L197" s="2">
        <f>SUM(Table167[[#This Row],[Club 1]:[Club 50]])</f>
        <v>0</v>
      </c>
      <c r="M197" s="2">
        <f>SUM(Table167[[#This Row],[Intra-school sports 1]:[Intra-school sports 50]])</f>
        <v>0</v>
      </c>
      <c r="N197" s="2">
        <f>SUM(Table167[[#This Row],[Inter School sports 1]:[Inter School sports 50]])</f>
        <v>0</v>
      </c>
      <c r="O197" s="91">
        <f>COUNTIF(Table167[[#This Row],[Community club (type name of club(s). All clubs will count as ''1'']],"*")</f>
        <v>0</v>
      </c>
      <c r="P197" s="17">
        <f>IF(OR(Table167[[#This Row],[Total Challenges]]&gt;0,Table167[[#This Row],[Total Ex-C Clubs]]&gt;0,Table167[[#This Row],[Total Intra-School Sports]]&gt;0,Table167[[#This Row],[Total Inter-School Sports]]&gt;0,Table167[[#This Row],[Community Clubs]]&gt;0),1,0)</f>
        <v>0</v>
      </c>
      <c r="HI197"/>
      <c r="HJ197" s="19"/>
    </row>
    <row r="198" spans="11:218" x14ac:dyDescent="0.25">
      <c r="K198" s="91">
        <f>SUM(Table167[[#This Row],[Challenge 1]:[Challenge 50]])</f>
        <v>0</v>
      </c>
      <c r="L198" s="2">
        <f>SUM(Table167[[#This Row],[Club 1]:[Club 50]])</f>
        <v>0</v>
      </c>
      <c r="M198" s="2">
        <f>SUM(Table167[[#This Row],[Intra-school sports 1]:[Intra-school sports 50]])</f>
        <v>0</v>
      </c>
      <c r="N198" s="2">
        <f>SUM(Table167[[#This Row],[Inter School sports 1]:[Inter School sports 50]])</f>
        <v>0</v>
      </c>
      <c r="O198" s="91">
        <f>COUNTIF(Table167[[#This Row],[Community club (type name of club(s). All clubs will count as ''1'']],"*")</f>
        <v>0</v>
      </c>
      <c r="P198" s="17">
        <f>IF(OR(Table167[[#This Row],[Total Challenges]]&gt;0,Table167[[#This Row],[Total Ex-C Clubs]]&gt;0,Table167[[#This Row],[Total Intra-School Sports]]&gt;0,Table167[[#This Row],[Total Inter-School Sports]]&gt;0,Table167[[#This Row],[Community Clubs]]&gt;0),1,0)</f>
        <v>0</v>
      </c>
      <c r="HI198"/>
      <c r="HJ198" s="19"/>
    </row>
    <row r="199" spans="11:218" x14ac:dyDescent="0.25">
      <c r="K199" s="91">
        <f>SUM(Table167[[#This Row],[Challenge 1]:[Challenge 50]])</f>
        <v>0</v>
      </c>
      <c r="L199" s="2">
        <f>SUM(Table167[[#This Row],[Club 1]:[Club 50]])</f>
        <v>0</v>
      </c>
      <c r="M199" s="2">
        <f>SUM(Table167[[#This Row],[Intra-school sports 1]:[Intra-school sports 50]])</f>
        <v>0</v>
      </c>
      <c r="N199" s="2">
        <f>SUM(Table167[[#This Row],[Inter School sports 1]:[Inter School sports 50]])</f>
        <v>0</v>
      </c>
      <c r="O199" s="91">
        <f>COUNTIF(Table167[[#This Row],[Community club (type name of club(s). All clubs will count as ''1'']],"*")</f>
        <v>0</v>
      </c>
      <c r="P199" s="17">
        <f>IF(OR(Table167[[#This Row],[Total Challenges]]&gt;0,Table167[[#This Row],[Total Ex-C Clubs]]&gt;0,Table167[[#This Row],[Total Intra-School Sports]]&gt;0,Table167[[#This Row],[Total Inter-School Sports]]&gt;0,Table167[[#This Row],[Community Clubs]]&gt;0),1,0)</f>
        <v>0</v>
      </c>
      <c r="HI199"/>
      <c r="HJ199" s="19"/>
    </row>
    <row r="200" spans="11:218" x14ac:dyDescent="0.25">
      <c r="K200" s="91">
        <f>SUM(Table167[[#This Row],[Challenge 1]:[Challenge 50]])</f>
        <v>0</v>
      </c>
      <c r="L200" s="2">
        <f>SUM(Table167[[#This Row],[Club 1]:[Club 50]])</f>
        <v>0</v>
      </c>
      <c r="M200" s="2">
        <f>SUM(Table167[[#This Row],[Intra-school sports 1]:[Intra-school sports 50]])</f>
        <v>0</v>
      </c>
      <c r="N200" s="2">
        <f>SUM(Table167[[#This Row],[Inter School sports 1]:[Inter School sports 50]])</f>
        <v>0</v>
      </c>
      <c r="O200" s="91">
        <f>COUNTIF(Table167[[#This Row],[Community club (type name of club(s). All clubs will count as ''1'']],"*")</f>
        <v>0</v>
      </c>
      <c r="P200" s="17">
        <f>IF(OR(Table167[[#This Row],[Total Challenges]]&gt;0,Table167[[#This Row],[Total Ex-C Clubs]]&gt;0,Table167[[#This Row],[Total Intra-School Sports]]&gt;0,Table167[[#This Row],[Total Inter-School Sports]]&gt;0,Table167[[#This Row],[Community Clubs]]&gt;0),1,0)</f>
        <v>0</v>
      </c>
      <c r="HI200"/>
      <c r="HJ200" s="19"/>
    </row>
    <row r="201" spans="11:218" x14ac:dyDescent="0.25">
      <c r="K201" s="91">
        <f>SUM(Table167[[#This Row],[Challenge 1]:[Challenge 50]])</f>
        <v>0</v>
      </c>
      <c r="L201" s="2">
        <f>SUM(Table167[[#This Row],[Club 1]:[Club 50]])</f>
        <v>0</v>
      </c>
      <c r="M201" s="2">
        <f>SUM(Table167[[#This Row],[Intra-school sports 1]:[Intra-school sports 50]])</f>
        <v>0</v>
      </c>
      <c r="N201" s="2">
        <f>SUM(Table167[[#This Row],[Inter School sports 1]:[Inter School sports 50]])</f>
        <v>0</v>
      </c>
      <c r="O201" s="91">
        <f>COUNTIF(Table167[[#This Row],[Community club (type name of club(s). All clubs will count as ''1'']],"*")</f>
        <v>0</v>
      </c>
      <c r="P201" s="17">
        <f>IF(OR(Table167[[#This Row],[Total Challenges]]&gt;0,Table167[[#This Row],[Total Ex-C Clubs]]&gt;0,Table167[[#This Row],[Total Intra-School Sports]]&gt;0,Table167[[#This Row],[Total Inter-School Sports]]&gt;0,Table167[[#This Row],[Community Clubs]]&gt;0),1,0)</f>
        <v>0</v>
      </c>
      <c r="HI201"/>
      <c r="HJ201" s="19"/>
    </row>
    <row r="202" spans="11:218" x14ac:dyDescent="0.25">
      <c r="K202" s="91">
        <f>SUM(Table167[[#This Row],[Challenge 1]:[Challenge 50]])</f>
        <v>0</v>
      </c>
      <c r="L202" s="2">
        <f>SUM(Table167[[#This Row],[Club 1]:[Club 50]])</f>
        <v>0</v>
      </c>
      <c r="M202" s="2">
        <f>SUM(Table167[[#This Row],[Intra-school sports 1]:[Intra-school sports 50]])</f>
        <v>0</v>
      </c>
      <c r="N202" s="2">
        <f>SUM(Table167[[#This Row],[Inter School sports 1]:[Inter School sports 50]])</f>
        <v>0</v>
      </c>
      <c r="O202" s="91">
        <f>COUNTIF(Table167[[#This Row],[Community club (type name of club(s). All clubs will count as ''1'']],"*")</f>
        <v>0</v>
      </c>
      <c r="P202" s="17">
        <f>IF(OR(Table167[[#This Row],[Total Challenges]]&gt;0,Table167[[#This Row],[Total Ex-C Clubs]]&gt;0,Table167[[#This Row],[Total Intra-School Sports]]&gt;0,Table167[[#This Row],[Total Inter-School Sports]]&gt;0,Table167[[#This Row],[Community Clubs]]&gt;0),1,0)</f>
        <v>0</v>
      </c>
      <c r="HI202"/>
      <c r="HJ202" s="19"/>
    </row>
    <row r="203" spans="11:218" x14ac:dyDescent="0.25">
      <c r="K203" s="91">
        <f>SUM(Table167[[#This Row],[Challenge 1]:[Challenge 50]])</f>
        <v>0</v>
      </c>
      <c r="L203" s="2">
        <f>SUM(Table167[[#This Row],[Club 1]:[Club 50]])</f>
        <v>0</v>
      </c>
      <c r="M203" s="2">
        <f>SUM(Table167[[#This Row],[Intra-school sports 1]:[Intra-school sports 50]])</f>
        <v>0</v>
      </c>
      <c r="N203" s="2">
        <f>SUM(Table167[[#This Row],[Inter School sports 1]:[Inter School sports 50]])</f>
        <v>0</v>
      </c>
      <c r="O203" s="91">
        <f>COUNTIF(Table167[[#This Row],[Community club (type name of club(s). All clubs will count as ''1'']],"*")</f>
        <v>0</v>
      </c>
      <c r="P203" s="17">
        <f>IF(OR(Table167[[#This Row],[Total Challenges]]&gt;0,Table167[[#This Row],[Total Ex-C Clubs]]&gt;0,Table167[[#This Row],[Total Intra-School Sports]]&gt;0,Table167[[#This Row],[Total Inter-School Sports]]&gt;0,Table167[[#This Row],[Community Clubs]]&gt;0),1,0)</f>
        <v>0</v>
      </c>
      <c r="HI203"/>
      <c r="HJ203" s="19"/>
    </row>
    <row r="204" spans="11:218" x14ac:dyDescent="0.25">
      <c r="K204" s="91">
        <f>SUM(Table167[[#This Row],[Challenge 1]:[Challenge 50]])</f>
        <v>0</v>
      </c>
      <c r="L204" s="2">
        <f>SUM(Table167[[#This Row],[Club 1]:[Club 50]])</f>
        <v>0</v>
      </c>
      <c r="M204" s="2">
        <f>SUM(Table167[[#This Row],[Intra-school sports 1]:[Intra-school sports 50]])</f>
        <v>0</v>
      </c>
      <c r="N204" s="2">
        <f>SUM(Table167[[#This Row],[Inter School sports 1]:[Inter School sports 50]])</f>
        <v>0</v>
      </c>
      <c r="O204" s="91">
        <f>COUNTIF(Table167[[#This Row],[Community club (type name of club(s). All clubs will count as ''1'']],"*")</f>
        <v>0</v>
      </c>
      <c r="P204" s="17">
        <f>IF(OR(Table167[[#This Row],[Total Challenges]]&gt;0,Table167[[#This Row],[Total Ex-C Clubs]]&gt;0,Table167[[#This Row],[Total Intra-School Sports]]&gt;0,Table167[[#This Row],[Total Inter-School Sports]]&gt;0,Table167[[#This Row],[Community Clubs]]&gt;0),1,0)</f>
        <v>0</v>
      </c>
      <c r="HI204"/>
      <c r="HJ204" s="19"/>
    </row>
    <row r="205" spans="11:218" x14ac:dyDescent="0.25">
      <c r="K205" s="91">
        <f>SUM(Table167[[#This Row],[Challenge 1]:[Challenge 50]])</f>
        <v>0</v>
      </c>
      <c r="L205" s="2">
        <f>SUM(Table167[[#This Row],[Club 1]:[Club 50]])</f>
        <v>0</v>
      </c>
      <c r="M205" s="2">
        <f>SUM(Table167[[#This Row],[Intra-school sports 1]:[Intra-school sports 50]])</f>
        <v>0</v>
      </c>
      <c r="N205" s="2">
        <f>SUM(Table167[[#This Row],[Inter School sports 1]:[Inter School sports 50]])</f>
        <v>0</v>
      </c>
      <c r="O205" s="91">
        <f>COUNTIF(Table167[[#This Row],[Community club (type name of club(s). All clubs will count as ''1'']],"*")</f>
        <v>0</v>
      </c>
      <c r="P205" s="17">
        <f>IF(OR(Table167[[#This Row],[Total Challenges]]&gt;0,Table167[[#This Row],[Total Ex-C Clubs]]&gt;0,Table167[[#This Row],[Total Intra-School Sports]]&gt;0,Table167[[#This Row],[Total Inter-School Sports]]&gt;0,Table167[[#This Row],[Community Clubs]]&gt;0),1,0)</f>
        <v>0</v>
      </c>
      <c r="HI205"/>
      <c r="HJ205" s="19"/>
    </row>
    <row r="206" spans="11:218" x14ac:dyDescent="0.25">
      <c r="K206" s="91">
        <f>SUM(Table167[[#This Row],[Challenge 1]:[Challenge 50]])</f>
        <v>0</v>
      </c>
      <c r="L206" s="2">
        <f>SUM(Table167[[#This Row],[Club 1]:[Club 50]])</f>
        <v>0</v>
      </c>
      <c r="M206" s="2">
        <f>SUM(Table167[[#This Row],[Intra-school sports 1]:[Intra-school sports 50]])</f>
        <v>0</v>
      </c>
      <c r="N206" s="2">
        <f>SUM(Table167[[#This Row],[Inter School sports 1]:[Inter School sports 50]])</f>
        <v>0</v>
      </c>
      <c r="O206" s="91">
        <f>COUNTIF(Table167[[#This Row],[Community club (type name of club(s). All clubs will count as ''1'']],"*")</f>
        <v>0</v>
      </c>
      <c r="P206" s="17">
        <f>IF(OR(Table167[[#This Row],[Total Challenges]]&gt;0,Table167[[#This Row],[Total Ex-C Clubs]]&gt;0,Table167[[#This Row],[Total Intra-School Sports]]&gt;0,Table167[[#This Row],[Total Inter-School Sports]]&gt;0,Table167[[#This Row],[Community Clubs]]&gt;0),1,0)</f>
        <v>0</v>
      </c>
      <c r="HI206"/>
      <c r="HJ206" s="19"/>
    </row>
    <row r="207" spans="11:218" x14ac:dyDescent="0.25">
      <c r="K207" s="91">
        <f>SUM(Table167[[#This Row],[Challenge 1]:[Challenge 50]])</f>
        <v>0</v>
      </c>
      <c r="L207" s="2">
        <f>SUM(Table167[[#This Row],[Club 1]:[Club 50]])</f>
        <v>0</v>
      </c>
      <c r="M207" s="2">
        <f>SUM(Table167[[#This Row],[Intra-school sports 1]:[Intra-school sports 50]])</f>
        <v>0</v>
      </c>
      <c r="N207" s="2">
        <f>SUM(Table167[[#This Row],[Inter School sports 1]:[Inter School sports 50]])</f>
        <v>0</v>
      </c>
      <c r="O207" s="91">
        <f>COUNTIF(Table167[[#This Row],[Community club (type name of club(s). All clubs will count as ''1'']],"*")</f>
        <v>0</v>
      </c>
      <c r="P207" s="17">
        <f>IF(OR(Table167[[#This Row],[Total Challenges]]&gt;0,Table167[[#This Row],[Total Ex-C Clubs]]&gt;0,Table167[[#This Row],[Total Intra-School Sports]]&gt;0,Table167[[#This Row],[Total Inter-School Sports]]&gt;0,Table167[[#This Row],[Community Clubs]]&gt;0),1,0)</f>
        <v>0</v>
      </c>
      <c r="HI207"/>
      <c r="HJ207" s="19"/>
    </row>
    <row r="208" spans="11:218" x14ac:dyDescent="0.25">
      <c r="K208" s="91">
        <f>SUM(Table167[[#This Row],[Challenge 1]:[Challenge 50]])</f>
        <v>0</v>
      </c>
      <c r="L208" s="2">
        <f>SUM(Table167[[#This Row],[Club 1]:[Club 50]])</f>
        <v>0</v>
      </c>
      <c r="M208" s="2">
        <f>SUM(Table167[[#This Row],[Intra-school sports 1]:[Intra-school sports 50]])</f>
        <v>0</v>
      </c>
      <c r="N208" s="2">
        <f>SUM(Table167[[#This Row],[Inter School sports 1]:[Inter School sports 50]])</f>
        <v>0</v>
      </c>
      <c r="O208" s="91">
        <f>COUNTIF(Table167[[#This Row],[Community club (type name of club(s). All clubs will count as ''1'']],"*")</f>
        <v>0</v>
      </c>
      <c r="P208" s="17">
        <f>IF(OR(Table167[[#This Row],[Total Challenges]]&gt;0,Table167[[#This Row],[Total Ex-C Clubs]]&gt;0,Table167[[#This Row],[Total Intra-School Sports]]&gt;0,Table167[[#This Row],[Total Inter-School Sports]]&gt;0,Table167[[#This Row],[Community Clubs]]&gt;0),1,0)</f>
        <v>0</v>
      </c>
      <c r="HI208"/>
      <c r="HJ208" s="19"/>
    </row>
    <row r="209" spans="1:218" x14ac:dyDescent="0.25">
      <c r="K209" s="91">
        <f>SUM(Table167[[#This Row],[Challenge 1]:[Challenge 50]])</f>
        <v>0</v>
      </c>
      <c r="L209" s="2">
        <f>SUM(Table167[[#This Row],[Club 1]:[Club 50]])</f>
        <v>0</v>
      </c>
      <c r="M209" s="2">
        <f>SUM(Table167[[#This Row],[Intra-school sports 1]:[Intra-school sports 50]])</f>
        <v>0</v>
      </c>
      <c r="N209" s="2">
        <f>SUM(Table167[[#This Row],[Inter School sports 1]:[Inter School sports 50]])</f>
        <v>0</v>
      </c>
      <c r="O209" s="91">
        <f>COUNTIF(Table167[[#This Row],[Community club (type name of club(s). All clubs will count as ''1'']],"*")</f>
        <v>0</v>
      </c>
      <c r="P209" s="17">
        <f>IF(OR(Table167[[#This Row],[Total Challenges]]&gt;0,Table167[[#This Row],[Total Ex-C Clubs]]&gt;0,Table167[[#This Row],[Total Intra-School Sports]]&gt;0,Table167[[#This Row],[Total Inter-School Sports]]&gt;0,Table167[[#This Row],[Community Clubs]]&gt;0),1,0)</f>
        <v>0</v>
      </c>
      <c r="HI209"/>
      <c r="HJ209" s="19"/>
    </row>
    <row r="210" spans="1:218" x14ac:dyDescent="0.25">
      <c r="K210" s="91">
        <f>SUM(Table167[[#This Row],[Challenge 1]:[Challenge 50]])</f>
        <v>0</v>
      </c>
      <c r="L210" s="2">
        <f>SUM(Table167[[#This Row],[Club 1]:[Club 50]])</f>
        <v>0</v>
      </c>
      <c r="M210" s="2">
        <f>SUM(Table167[[#This Row],[Intra-school sports 1]:[Intra-school sports 50]])</f>
        <v>0</v>
      </c>
      <c r="N210" s="2">
        <f>SUM(Table167[[#This Row],[Inter School sports 1]:[Inter School sports 50]])</f>
        <v>0</v>
      </c>
      <c r="O210" s="91">
        <f>COUNTIF(Table167[[#This Row],[Community club (type name of club(s). All clubs will count as ''1'']],"*")</f>
        <v>0</v>
      </c>
      <c r="P210" s="17">
        <f>IF(OR(Table167[[#This Row],[Total Challenges]]&gt;0,Table167[[#This Row],[Total Ex-C Clubs]]&gt;0,Table167[[#This Row],[Total Intra-School Sports]]&gt;0,Table167[[#This Row],[Total Inter-School Sports]]&gt;0,Table167[[#This Row],[Community Clubs]]&gt;0),1,0)</f>
        <v>0</v>
      </c>
      <c r="HI210"/>
      <c r="HJ210" s="19"/>
    </row>
    <row r="211" spans="1:218" x14ac:dyDescent="0.25">
      <c r="K211" s="91">
        <f>SUM(Table167[[#This Row],[Challenge 1]:[Challenge 50]])</f>
        <v>0</v>
      </c>
      <c r="L211" s="2">
        <f>SUM(Table167[[#This Row],[Club 1]:[Club 50]])</f>
        <v>0</v>
      </c>
      <c r="M211" s="2">
        <f>SUM(Table167[[#This Row],[Intra-school sports 1]:[Intra-school sports 50]])</f>
        <v>0</v>
      </c>
      <c r="N211" s="2">
        <f>SUM(Table167[[#This Row],[Inter School sports 1]:[Inter School sports 50]])</f>
        <v>0</v>
      </c>
      <c r="O211" s="91">
        <f>COUNTIF(Table167[[#This Row],[Community club (type name of club(s). All clubs will count as ''1'']],"*")</f>
        <v>0</v>
      </c>
      <c r="P211" s="17">
        <f>IF(OR(Table167[[#This Row],[Total Challenges]]&gt;0,Table167[[#This Row],[Total Ex-C Clubs]]&gt;0,Table167[[#This Row],[Total Intra-School Sports]]&gt;0,Table167[[#This Row],[Total Inter-School Sports]]&gt;0,Table167[[#This Row],[Community Clubs]]&gt;0),1,0)</f>
        <v>0</v>
      </c>
      <c r="HI211"/>
      <c r="HJ211" s="19"/>
    </row>
    <row r="212" spans="1:218" x14ac:dyDescent="0.25">
      <c r="K212" s="91">
        <f>SUM(Table167[[#This Row],[Challenge 1]:[Challenge 50]])</f>
        <v>0</v>
      </c>
      <c r="L212" s="2">
        <f>SUM(Table167[[#This Row],[Club 1]:[Club 50]])</f>
        <v>0</v>
      </c>
      <c r="M212" s="2">
        <f>SUM(Table167[[#This Row],[Intra-school sports 1]:[Intra-school sports 50]])</f>
        <v>0</v>
      </c>
      <c r="N212" s="2">
        <f>SUM(Table167[[#This Row],[Inter School sports 1]:[Inter School sports 50]])</f>
        <v>0</v>
      </c>
      <c r="O212" s="91">
        <f>COUNTIF(Table167[[#This Row],[Community club (type name of club(s). All clubs will count as ''1'']],"*")</f>
        <v>0</v>
      </c>
      <c r="P212" s="17">
        <f>IF(OR(Table167[[#This Row],[Total Challenges]]&gt;0,Table167[[#This Row],[Total Ex-C Clubs]]&gt;0,Table167[[#This Row],[Total Intra-School Sports]]&gt;0,Table167[[#This Row],[Total Inter-School Sports]]&gt;0,Table167[[#This Row],[Community Clubs]]&gt;0),1,0)</f>
        <v>0</v>
      </c>
      <c r="HI212"/>
      <c r="HJ212" s="19"/>
    </row>
    <row r="213" spans="1:218" x14ac:dyDescent="0.25">
      <c r="K213" s="91">
        <f>SUM(Table167[[#This Row],[Challenge 1]:[Challenge 50]])</f>
        <v>0</v>
      </c>
      <c r="L213" s="2">
        <f>SUM(Table167[[#This Row],[Club 1]:[Club 50]])</f>
        <v>0</v>
      </c>
      <c r="M213" s="2">
        <f>SUM(Table167[[#This Row],[Intra-school sports 1]:[Intra-school sports 50]])</f>
        <v>0</v>
      </c>
      <c r="N213" s="2">
        <f>SUM(Table167[[#This Row],[Inter School sports 1]:[Inter School sports 50]])</f>
        <v>0</v>
      </c>
      <c r="O213" s="91">
        <f>COUNTIF(Table167[[#This Row],[Community club (type name of club(s). All clubs will count as ''1'']],"*")</f>
        <v>0</v>
      </c>
      <c r="P213" s="17">
        <f>IF(OR(Table167[[#This Row],[Total Challenges]]&gt;0,Table167[[#This Row],[Total Ex-C Clubs]]&gt;0,Table167[[#This Row],[Total Intra-School Sports]]&gt;0,Table167[[#This Row],[Total Inter-School Sports]]&gt;0,Table167[[#This Row],[Community Clubs]]&gt;0),1,0)</f>
        <v>0</v>
      </c>
      <c r="HI213"/>
      <c r="HJ213" s="19"/>
    </row>
    <row r="214" spans="1:218" x14ac:dyDescent="0.25">
      <c r="K214" s="91">
        <f>SUM(Table167[[#This Row],[Challenge 1]:[Challenge 50]])</f>
        <v>0</v>
      </c>
      <c r="L214" s="2">
        <f>SUM(Table167[[#This Row],[Club 1]:[Club 50]])</f>
        <v>0</v>
      </c>
      <c r="M214" s="2">
        <f>SUM(Table167[[#This Row],[Intra-school sports 1]:[Intra-school sports 50]])</f>
        <v>0</v>
      </c>
      <c r="N214" s="2">
        <f>SUM(Table167[[#This Row],[Inter School sports 1]:[Inter School sports 50]])</f>
        <v>0</v>
      </c>
      <c r="O214" s="91">
        <f>COUNTIF(Table167[[#This Row],[Community club (type name of club(s). All clubs will count as ''1'']],"*")</f>
        <v>0</v>
      </c>
      <c r="P214" s="17">
        <f>IF(OR(Table167[[#This Row],[Total Challenges]]&gt;0,Table167[[#This Row],[Total Ex-C Clubs]]&gt;0,Table167[[#This Row],[Total Intra-School Sports]]&gt;0,Table167[[#This Row],[Total Inter-School Sports]]&gt;0,Table167[[#This Row],[Community Clubs]]&gt;0),1,0)</f>
        <v>0</v>
      </c>
      <c r="HI214"/>
      <c r="HJ214" s="19"/>
    </row>
    <row r="215" spans="1:218" x14ac:dyDescent="0.25">
      <c r="K215" s="91">
        <f>SUM(Table167[[#This Row],[Challenge 1]:[Challenge 50]])</f>
        <v>0</v>
      </c>
      <c r="L215" s="2">
        <f>SUM(Table167[[#This Row],[Club 1]:[Club 50]])</f>
        <v>0</v>
      </c>
      <c r="M215" s="2">
        <f>SUM(Table167[[#This Row],[Intra-school sports 1]:[Intra-school sports 50]])</f>
        <v>0</v>
      </c>
      <c r="N215" s="2">
        <f>SUM(Table167[[#This Row],[Inter School sports 1]:[Inter School sports 50]])</f>
        <v>0</v>
      </c>
      <c r="O215" s="91">
        <f>COUNTIF(Table167[[#This Row],[Community club (type name of club(s). All clubs will count as ''1'']],"*")</f>
        <v>0</v>
      </c>
      <c r="P215" s="17">
        <f>IF(OR(Table167[[#This Row],[Total Challenges]]&gt;0,Table167[[#This Row],[Total Ex-C Clubs]]&gt;0,Table167[[#This Row],[Total Intra-School Sports]]&gt;0,Table167[[#This Row],[Total Inter-School Sports]]&gt;0,Table167[[#This Row],[Community Clubs]]&gt;0),1,0)</f>
        <v>0</v>
      </c>
      <c r="HI215"/>
      <c r="HJ215" s="19"/>
    </row>
    <row r="216" spans="1:218" x14ac:dyDescent="0.25">
      <c r="K216" s="91">
        <f>SUM(Table167[[#This Row],[Challenge 1]:[Challenge 50]])</f>
        <v>0</v>
      </c>
      <c r="L216" s="2">
        <f>SUM(Table167[[#This Row],[Club 1]:[Club 50]])</f>
        <v>0</v>
      </c>
      <c r="M216" s="2">
        <f>SUM(Table167[[#This Row],[Intra-school sports 1]:[Intra-school sports 50]])</f>
        <v>0</v>
      </c>
      <c r="N216" s="2">
        <f>SUM(Table167[[#This Row],[Inter School sports 1]:[Inter School sports 50]])</f>
        <v>0</v>
      </c>
      <c r="O216" s="91">
        <f>COUNTIF(Table167[[#This Row],[Community club (type name of club(s). All clubs will count as ''1'']],"*")</f>
        <v>0</v>
      </c>
      <c r="P216" s="17">
        <f>IF(OR(Table167[[#This Row],[Total Challenges]]&gt;0,Table167[[#This Row],[Total Ex-C Clubs]]&gt;0,Table167[[#This Row],[Total Intra-School Sports]]&gt;0,Table167[[#This Row],[Total Inter-School Sports]]&gt;0,Table167[[#This Row],[Community Clubs]]&gt;0),1,0)</f>
        <v>0</v>
      </c>
      <c r="HI216"/>
      <c r="HJ216" s="19"/>
    </row>
    <row r="217" spans="1:218" x14ac:dyDescent="0.25">
      <c r="K217" s="91">
        <f>SUM(Table167[[#This Row],[Challenge 1]:[Challenge 50]])</f>
        <v>0</v>
      </c>
      <c r="L217" s="2">
        <f>SUM(Table167[[#This Row],[Club 1]:[Club 50]])</f>
        <v>0</v>
      </c>
      <c r="M217" s="2">
        <f>SUM(Table167[[#This Row],[Intra-school sports 1]:[Intra-school sports 50]])</f>
        <v>0</v>
      </c>
      <c r="N217" s="2">
        <f>SUM(Table167[[#This Row],[Inter School sports 1]:[Inter School sports 50]])</f>
        <v>0</v>
      </c>
      <c r="O217" s="91">
        <f>COUNTIF(Table167[[#This Row],[Community club (type name of club(s). All clubs will count as ''1'']],"*")</f>
        <v>0</v>
      </c>
      <c r="P217" s="17">
        <f>IF(OR(Table167[[#This Row],[Total Challenges]]&gt;0,Table167[[#This Row],[Total Ex-C Clubs]]&gt;0,Table167[[#This Row],[Total Intra-School Sports]]&gt;0,Table167[[#This Row],[Total Inter-School Sports]]&gt;0,Table167[[#This Row],[Community Clubs]]&gt;0),1,0)</f>
        <v>0</v>
      </c>
      <c r="HI217"/>
      <c r="HJ217" s="19"/>
    </row>
    <row r="218" spans="1:218" x14ac:dyDescent="0.25">
      <c r="K218" s="91">
        <f>SUM(Table167[[#This Row],[Challenge 1]:[Challenge 50]])</f>
        <v>0</v>
      </c>
      <c r="L218" s="2">
        <f>SUM(Table167[[#This Row],[Club 1]:[Club 50]])</f>
        <v>0</v>
      </c>
      <c r="M218" s="2">
        <f>SUM(Table167[[#This Row],[Intra-school sports 1]:[Intra-school sports 50]])</f>
        <v>0</v>
      </c>
      <c r="N218" s="2">
        <f>SUM(Table167[[#This Row],[Inter School sports 1]:[Inter School sports 50]])</f>
        <v>0</v>
      </c>
      <c r="O218" s="91">
        <f>COUNTIF(Table167[[#This Row],[Community club (type name of club(s). All clubs will count as ''1'']],"*")</f>
        <v>0</v>
      </c>
      <c r="P218" s="17">
        <f>IF(OR(Table167[[#This Row],[Total Challenges]]&gt;0,Table167[[#This Row],[Total Ex-C Clubs]]&gt;0,Table167[[#This Row],[Total Intra-School Sports]]&gt;0,Table167[[#This Row],[Total Inter-School Sports]]&gt;0,Table167[[#This Row],[Community Clubs]]&gt;0),1,0)</f>
        <v>0</v>
      </c>
      <c r="HI218"/>
      <c r="HJ218" s="19"/>
    </row>
    <row r="219" spans="1:218" x14ac:dyDescent="0.25">
      <c r="K219" s="91">
        <f>SUM(Table167[[#This Row],[Challenge 1]:[Challenge 50]])</f>
        <v>0</v>
      </c>
      <c r="L219" s="2">
        <f>SUM(Table167[[#This Row],[Club 1]:[Club 50]])</f>
        <v>0</v>
      </c>
      <c r="M219" s="2">
        <f>SUM(Table167[[#This Row],[Intra-school sports 1]:[Intra-school sports 50]])</f>
        <v>0</v>
      </c>
      <c r="N219" s="2">
        <f>SUM(Table167[[#This Row],[Inter School sports 1]:[Inter School sports 50]])</f>
        <v>0</v>
      </c>
      <c r="O219" s="91">
        <f>COUNTIF(Table167[[#This Row],[Community club (type name of club(s). All clubs will count as ''1'']],"*")</f>
        <v>0</v>
      </c>
      <c r="P219" s="17">
        <f>IF(OR(Table167[[#This Row],[Total Challenges]]&gt;0,Table167[[#This Row],[Total Ex-C Clubs]]&gt;0,Table167[[#This Row],[Total Intra-School Sports]]&gt;0,Table167[[#This Row],[Total Inter-School Sports]]&gt;0,Table167[[#This Row],[Community Clubs]]&gt;0),1,0)</f>
        <v>0</v>
      </c>
      <c r="HI219"/>
      <c r="HJ219" s="19"/>
    </row>
    <row r="220" spans="1:218" x14ac:dyDescent="0.25">
      <c r="K220" s="91">
        <f>SUM(Table167[[#This Row],[Challenge 1]:[Challenge 50]])</f>
        <v>0</v>
      </c>
      <c r="L220" s="2">
        <f>SUM(Table167[[#This Row],[Club 1]:[Club 50]])</f>
        <v>0</v>
      </c>
      <c r="M220" s="2">
        <f>SUM(Table167[[#This Row],[Intra-school sports 1]:[Intra-school sports 50]])</f>
        <v>0</v>
      </c>
      <c r="N220" s="2">
        <f>SUM(Table167[[#This Row],[Inter School sports 1]:[Inter School sports 50]])</f>
        <v>0</v>
      </c>
      <c r="O220" s="91">
        <f>COUNTIF(Table167[[#This Row],[Community club (type name of club(s). All clubs will count as ''1'']],"*")</f>
        <v>0</v>
      </c>
      <c r="P220" s="17">
        <f>IF(OR(Table167[[#This Row],[Total Challenges]]&gt;0,Table167[[#This Row],[Total Ex-C Clubs]]&gt;0,Table167[[#This Row],[Total Intra-School Sports]]&gt;0,Table167[[#This Row],[Total Inter-School Sports]]&gt;0,Table167[[#This Row],[Community Clubs]]&gt;0),1,0)</f>
        <v>0</v>
      </c>
      <c r="HI220"/>
      <c r="HJ220" s="19"/>
    </row>
    <row r="221" spans="1:218" x14ac:dyDescent="0.25">
      <c r="A221" t="s">
        <v>57</v>
      </c>
      <c r="E221">
        <f>SUBTOTAL(109,Table167[FSM / PP])</f>
        <v>1</v>
      </c>
      <c r="F221">
        <f>SUBTOTAL(109,Table167[Ethnically Diverse])</f>
        <v>0</v>
      </c>
      <c r="G221">
        <f>SUBTOTAL(109,Table167[EAL])</f>
        <v>1</v>
      </c>
      <c r="H221">
        <f>SUBTOTAL(109,Table167[SEN])</f>
        <v>0</v>
      </c>
      <c r="I221">
        <f>SUBTOTAL(109,Table167[Young Leader])</f>
        <v>1</v>
      </c>
      <c r="J221">
        <f>SUBTOTAL(109,Table167[Least active])</f>
        <v>0</v>
      </c>
      <c r="K221" s="2">
        <f>SUBTOTAL(109,Table167[Total Challenges])</f>
        <v>1</v>
      </c>
      <c r="L221" s="2">
        <f>SUBTOTAL(109,Table167[Total Ex-C Clubs])</f>
        <v>0</v>
      </c>
      <c r="M221" s="2">
        <f>SUBTOTAL(109,Table167[Total Intra-School Sports])</f>
        <v>0</v>
      </c>
      <c r="N221" s="2">
        <f>SUBTOTAL(109,Table167[Total Inter-School Sports])</f>
        <v>0</v>
      </c>
      <c r="O221" s="2">
        <f>SUBTOTAL(109,Table167[Community Clubs])</f>
        <v>0</v>
      </c>
      <c r="P221" s="2">
        <f>SUBTOTAL(109,Table167[Active Opportunity])</f>
        <v>1</v>
      </c>
      <c r="Q221">
        <f>SUBTOTAL(109,Table167[Challenge 1])</f>
        <v>0</v>
      </c>
      <c r="R221">
        <f>SUBTOTAL(109,Table167[Challenge 2])</f>
        <v>1</v>
      </c>
      <c r="S221">
        <f>SUBTOTAL(109,Table167[Challenge 3])</f>
        <v>0</v>
      </c>
      <c r="T221">
        <f>SUBTOTAL(109,Table167[Challenge 4])</f>
        <v>0</v>
      </c>
      <c r="U221">
        <f>SUBTOTAL(109,Table167[Challenge 5])</f>
        <v>0</v>
      </c>
      <c r="V221">
        <f>SUBTOTAL(109,Table167[Challenge 6])</f>
        <v>0</v>
      </c>
      <c r="W221">
        <f>SUBTOTAL(109,Table167[Challenge 7])</f>
        <v>0</v>
      </c>
      <c r="X221">
        <f>SUBTOTAL(109,Table167[Challenge 8])</f>
        <v>0</v>
      </c>
      <c r="Y221">
        <f>SUBTOTAL(109,Table167[Challenge 9])</f>
        <v>0</v>
      </c>
      <c r="Z221">
        <f>SUBTOTAL(109,Table167[Challenge 10])</f>
        <v>0</v>
      </c>
      <c r="AA221">
        <f>SUBTOTAL(109,Table167[Challenge 11])</f>
        <v>0</v>
      </c>
      <c r="AB221">
        <f>SUBTOTAL(109,Table167[Challenge 12])</f>
        <v>0</v>
      </c>
      <c r="AC221">
        <f>SUBTOTAL(109,Table167[Challenge 13])</f>
        <v>0</v>
      </c>
      <c r="AD221">
        <f>SUBTOTAL(109,Table167[Challenge 14])</f>
        <v>0</v>
      </c>
      <c r="AE221">
        <f>SUBTOTAL(109,Table167[Challenge 15])</f>
        <v>0</v>
      </c>
      <c r="AF221">
        <f>SUBTOTAL(109,Table167[Challenge 16])</f>
        <v>0</v>
      </c>
      <c r="AG221">
        <f>SUBTOTAL(109,Table167[Challenge 17])</f>
        <v>0</v>
      </c>
      <c r="AH221">
        <f>SUBTOTAL(109,Table167[Challenge 18])</f>
        <v>0</v>
      </c>
      <c r="AI221">
        <f>SUBTOTAL(109,Table167[Challenge 19])</f>
        <v>0</v>
      </c>
      <c r="AJ221">
        <f>SUBTOTAL(109,Table167[Challenge 20])</f>
        <v>0</v>
      </c>
      <c r="AK221">
        <f>SUBTOTAL(109,Table167[Challenge 21])</f>
        <v>0</v>
      </c>
      <c r="AL221">
        <f>SUBTOTAL(109,Table167[Challenge 22])</f>
        <v>0</v>
      </c>
      <c r="AM221">
        <f>SUBTOTAL(109,Table167[Challenge 23])</f>
        <v>0</v>
      </c>
      <c r="AN221">
        <f>SUBTOTAL(109,Table167[Challenge 24])</f>
        <v>0</v>
      </c>
      <c r="AO221">
        <f>SUBTOTAL(109,Table167[Challenge 25])</f>
        <v>0</v>
      </c>
      <c r="AP221">
        <f>SUBTOTAL(109,Table167[Challenge 26])</f>
        <v>0</v>
      </c>
      <c r="AQ221">
        <f>SUBTOTAL(109,Table167[Challenge 27])</f>
        <v>0</v>
      </c>
      <c r="AR221">
        <f>SUBTOTAL(109,Table167[Challenge 28])</f>
        <v>0</v>
      </c>
      <c r="AS221">
        <f>SUBTOTAL(109,Table167[Challenge 29])</f>
        <v>0</v>
      </c>
      <c r="AT221">
        <f>SUBTOTAL(109,Table167[Challenge 30])</f>
        <v>0</v>
      </c>
      <c r="AU221">
        <f>SUBTOTAL(109,Table167[Challenge 31])</f>
        <v>0</v>
      </c>
      <c r="AV221">
        <f>SUBTOTAL(109,Table167[Challenge 32])</f>
        <v>0</v>
      </c>
      <c r="AW221">
        <f>SUBTOTAL(109,Table167[Challenge 33])</f>
        <v>0</v>
      </c>
      <c r="AX221">
        <f>SUBTOTAL(109,Table167[Challenge 34])</f>
        <v>0</v>
      </c>
      <c r="AY221">
        <f>SUBTOTAL(109,Table167[Challenge 35])</f>
        <v>0</v>
      </c>
      <c r="AZ221">
        <f>SUBTOTAL(109,Table167[Challenge 36])</f>
        <v>0</v>
      </c>
      <c r="BA221">
        <f>SUBTOTAL(109,Table167[Challenge 37])</f>
        <v>0</v>
      </c>
      <c r="BB221">
        <f>SUBTOTAL(109,Table167[Challenge 38])</f>
        <v>0</v>
      </c>
      <c r="BC221">
        <f>SUBTOTAL(109,Table167[Challenge 39])</f>
        <v>0</v>
      </c>
      <c r="BD221">
        <f>SUBTOTAL(109,Table167[Challenge 40])</f>
        <v>0</v>
      </c>
      <c r="BE221">
        <f>SUBTOTAL(109,Table167[Challenge 41])</f>
        <v>0</v>
      </c>
      <c r="BF221">
        <f>SUBTOTAL(109,Table167[Challenge 42])</f>
        <v>0</v>
      </c>
      <c r="BG221">
        <f>SUBTOTAL(109,Table167[Challenge 43])</f>
        <v>0</v>
      </c>
      <c r="BH221">
        <f>SUBTOTAL(109,Table167[Challenge 44])</f>
        <v>0</v>
      </c>
      <c r="BI221">
        <f>SUBTOTAL(109,Table167[Challenge 45])</f>
        <v>0</v>
      </c>
      <c r="BJ221">
        <f>SUBTOTAL(109,Table167[Challenge 46])</f>
        <v>0</v>
      </c>
      <c r="BK221">
        <f>SUBTOTAL(109,Table167[Challenge 47])</f>
        <v>0</v>
      </c>
      <c r="BL221">
        <f>SUBTOTAL(109,Table167[Challenge 48])</f>
        <v>0</v>
      </c>
      <c r="BM221">
        <f>SUBTOTAL(109,Table167[Challenge 49])</f>
        <v>0</v>
      </c>
      <c r="BN221">
        <f>SUBTOTAL(109,Table167[Challenge 50])</f>
        <v>0</v>
      </c>
      <c r="BO221">
        <f>SUBTOTAL(109,Table167[Club 1])</f>
        <v>0</v>
      </c>
      <c r="BP221">
        <f>SUBTOTAL(109,Table167[Club 2])</f>
        <v>0</v>
      </c>
      <c r="BQ221">
        <f>SUBTOTAL(109,Table167[Club 3])</f>
        <v>0</v>
      </c>
      <c r="BR221">
        <f>SUBTOTAL(109,Table167[Club 4])</f>
        <v>0</v>
      </c>
      <c r="BS221">
        <f>SUBTOTAL(109,Table167[Club 5])</f>
        <v>0</v>
      </c>
      <c r="BT221">
        <f>SUBTOTAL(109,Table167[Club 6])</f>
        <v>0</v>
      </c>
      <c r="BU221">
        <f>SUBTOTAL(109,Table167[Club 7])</f>
        <v>0</v>
      </c>
      <c r="BV221">
        <f>SUBTOTAL(109,Table167[Club 8])</f>
        <v>0</v>
      </c>
      <c r="BW221">
        <f>SUBTOTAL(109,Table167[Club 9])</f>
        <v>0</v>
      </c>
      <c r="BX221">
        <f>SUBTOTAL(109,Table167[Club 10])</f>
        <v>0</v>
      </c>
      <c r="BY221">
        <f>SUBTOTAL(109,Table167[Club 11])</f>
        <v>0</v>
      </c>
      <c r="BZ221">
        <f>SUBTOTAL(109,Table167[Club 12])</f>
        <v>0</v>
      </c>
      <c r="CA221">
        <f>SUBTOTAL(109,Table167[Club 13])</f>
        <v>0</v>
      </c>
      <c r="CB221">
        <f>SUBTOTAL(109,Table167[Club 14])</f>
        <v>0</v>
      </c>
      <c r="CC221">
        <f>SUBTOTAL(109,Table167[Club 15])</f>
        <v>0</v>
      </c>
      <c r="CD221">
        <f>SUBTOTAL(109,Table167[Club 16])</f>
        <v>0</v>
      </c>
      <c r="CE221">
        <f>SUBTOTAL(109,Table167[Club 17])</f>
        <v>0</v>
      </c>
      <c r="CF221">
        <f>SUBTOTAL(109,Table167[Club 18])</f>
        <v>0</v>
      </c>
      <c r="CG221">
        <f>SUBTOTAL(109,Table167[Club 19])</f>
        <v>0</v>
      </c>
      <c r="CH221">
        <f>SUBTOTAL(109,Table167[Club 20])</f>
        <v>0</v>
      </c>
      <c r="CI221">
        <f>SUBTOTAL(109,Table167[Club 21])</f>
        <v>0</v>
      </c>
      <c r="CJ221">
        <f>SUBTOTAL(109,Table167[Club 22])</f>
        <v>0</v>
      </c>
      <c r="CK221">
        <f>SUBTOTAL(109,Table167[Club 23])</f>
        <v>0</v>
      </c>
      <c r="CL221">
        <f>SUBTOTAL(109,Table167[Club 24])</f>
        <v>0</v>
      </c>
      <c r="CM221">
        <f>SUBTOTAL(109,Table167[Club 25])</f>
        <v>0</v>
      </c>
      <c r="CN221">
        <f>SUBTOTAL(109,Table167[Club 26])</f>
        <v>0</v>
      </c>
      <c r="CO221">
        <f>SUBTOTAL(109,Table167[Club 27])</f>
        <v>0</v>
      </c>
      <c r="CP221">
        <f>SUBTOTAL(109,Table167[Club 28])</f>
        <v>0</v>
      </c>
      <c r="CQ221">
        <f>SUBTOTAL(109,Table167[Club 29])</f>
        <v>0</v>
      </c>
      <c r="CR221">
        <f>SUBTOTAL(109,Table167[Club 30])</f>
        <v>0</v>
      </c>
      <c r="CS221">
        <f>SUBTOTAL(109,Table167[Club 31])</f>
        <v>0</v>
      </c>
      <c r="CT221">
        <f>SUBTOTAL(109,Table167[Club 32])</f>
        <v>0</v>
      </c>
      <c r="CU221">
        <f>SUBTOTAL(109,Table167[Club 33])</f>
        <v>0</v>
      </c>
      <c r="CV221">
        <f>SUBTOTAL(109,Table167[Club 34])</f>
        <v>0</v>
      </c>
      <c r="CW221">
        <f>SUBTOTAL(109,Table167[Club 35])</f>
        <v>0</v>
      </c>
      <c r="CX221">
        <f>SUBTOTAL(109,Table167[Club 36])</f>
        <v>0</v>
      </c>
      <c r="CY221">
        <f>SUBTOTAL(109,Table167[Club 37])</f>
        <v>0</v>
      </c>
      <c r="CZ221">
        <f>SUBTOTAL(109,Table167[Club 38])</f>
        <v>0</v>
      </c>
      <c r="DA221">
        <f>SUBTOTAL(109,Table167[Club 39])</f>
        <v>0</v>
      </c>
      <c r="DB221">
        <f>SUBTOTAL(109,Table167[Club 40])</f>
        <v>0</v>
      </c>
      <c r="DC221">
        <f>SUBTOTAL(109,Table167[Club 41])</f>
        <v>0</v>
      </c>
      <c r="DD221">
        <f>SUBTOTAL(109,Table167[Club 42])</f>
        <v>0</v>
      </c>
      <c r="DE221">
        <f>SUBTOTAL(109,Table167[Club 43])</f>
        <v>0</v>
      </c>
      <c r="DF221">
        <f>SUBTOTAL(109,Table167[Club 44])</f>
        <v>0</v>
      </c>
      <c r="DG221">
        <f>SUBTOTAL(109,Table167[Club 45])</f>
        <v>0</v>
      </c>
      <c r="DH221">
        <f>SUBTOTAL(109,Table167[Club 46])</f>
        <v>0</v>
      </c>
      <c r="DI221">
        <f>SUBTOTAL(109,Table167[Club 47])</f>
        <v>0</v>
      </c>
      <c r="DJ221">
        <f>SUBTOTAL(109,Table167[Club 48])</f>
        <v>0</v>
      </c>
      <c r="DK221">
        <f>SUBTOTAL(109,Table167[Club 49])</f>
        <v>0</v>
      </c>
      <c r="DL221">
        <f>SUBTOTAL(109,Table167[Club 50])</f>
        <v>0</v>
      </c>
      <c r="DM221">
        <f>SUBTOTAL(109,Table167[Intra-school sports 1])</f>
        <v>0</v>
      </c>
      <c r="DN221">
        <f>SUBTOTAL(109,Table167[Intra-school sports 2])</f>
        <v>0</v>
      </c>
      <c r="DO221">
        <f>SUBTOTAL(109,Table167[Intra-school sports 3])</f>
        <v>0</v>
      </c>
      <c r="DP221">
        <f>SUBTOTAL(109,Table167[Intra-school sports 4])</f>
        <v>0</v>
      </c>
      <c r="DQ221">
        <f>SUBTOTAL(109,Table167[Intra-school sports 5])</f>
        <v>0</v>
      </c>
      <c r="DR221">
        <f>SUBTOTAL(109,Table167[Intra-school sports 6])</f>
        <v>0</v>
      </c>
      <c r="DS221">
        <f>SUBTOTAL(109,Table167[Intra-school sports 7])</f>
        <v>0</v>
      </c>
      <c r="DT221">
        <f>SUBTOTAL(109,Table167[Intra-school sports 8])</f>
        <v>0</v>
      </c>
      <c r="DU221">
        <f>SUBTOTAL(109,Table167[Intra-school sports 9])</f>
        <v>0</v>
      </c>
      <c r="DV221">
        <f>SUBTOTAL(109,Table167[Intra-school sports 10])</f>
        <v>0</v>
      </c>
      <c r="DW221">
        <f>SUBTOTAL(109,Table167[Intra-school sports 11])</f>
        <v>0</v>
      </c>
      <c r="DX221">
        <f>SUBTOTAL(109,Table167[Intra-school sports 12])</f>
        <v>0</v>
      </c>
      <c r="DY221">
        <f>SUBTOTAL(109,Table167[Intra-school sports 13])</f>
        <v>0</v>
      </c>
      <c r="DZ221">
        <f>SUBTOTAL(109,Table167[Intra-school sports 14])</f>
        <v>0</v>
      </c>
      <c r="EA221">
        <f>SUBTOTAL(109,Table167[Intra-school sports 15])</f>
        <v>0</v>
      </c>
      <c r="EB221">
        <f>SUBTOTAL(109,Table167[Intra-school sports 16])</f>
        <v>0</v>
      </c>
      <c r="EC221">
        <f>SUBTOTAL(109,Table167[Intra-school sports 17])</f>
        <v>0</v>
      </c>
      <c r="ED221">
        <f>SUBTOTAL(109,Table167[Intra-school sports 18])</f>
        <v>0</v>
      </c>
      <c r="EE221">
        <f>SUBTOTAL(109,Table167[Intra-school sports 19])</f>
        <v>0</v>
      </c>
      <c r="EF221">
        <f>SUBTOTAL(109,Table167[Intra-school sports 20])</f>
        <v>0</v>
      </c>
      <c r="EG221">
        <f>SUBTOTAL(109,Table167[Intra-school sports 21])</f>
        <v>0</v>
      </c>
      <c r="EH221">
        <f>SUBTOTAL(109,Table167[Intra-school sports 22])</f>
        <v>0</v>
      </c>
      <c r="EI221">
        <f>SUBTOTAL(109,Table167[Intra-school sports 23])</f>
        <v>0</v>
      </c>
      <c r="EJ221">
        <f>SUBTOTAL(109,Table167[Intra-school sports 24])</f>
        <v>0</v>
      </c>
      <c r="EK221">
        <f>SUBTOTAL(109,Table167[Intra-school sports 25])</f>
        <v>0</v>
      </c>
      <c r="EL221">
        <f>SUBTOTAL(109,Table167[Intra-school sports 26])</f>
        <v>0</v>
      </c>
      <c r="EM221">
        <f>SUBTOTAL(109,Table167[Intra-school sports 27])</f>
        <v>0</v>
      </c>
      <c r="EN221">
        <f>SUBTOTAL(109,Table167[Intra-school sports 28])</f>
        <v>0</v>
      </c>
      <c r="EO221">
        <f>SUBTOTAL(109,Table167[Intra-school sports 29])</f>
        <v>0</v>
      </c>
      <c r="EP221">
        <f>SUBTOTAL(109,Table167[Intra-school sports 30])</f>
        <v>0</v>
      </c>
      <c r="EQ221">
        <f>SUBTOTAL(109,Table167[Intra-school sports 31])</f>
        <v>0</v>
      </c>
      <c r="ER221">
        <f>SUBTOTAL(109,Table167[Intra-school sports 32])</f>
        <v>0</v>
      </c>
      <c r="ES221">
        <f>SUBTOTAL(109,Table167[Intra-school sports 33])</f>
        <v>0</v>
      </c>
      <c r="ET221">
        <f>SUBTOTAL(109,Table167[Intra-school sports 34])</f>
        <v>0</v>
      </c>
      <c r="EU221">
        <f>SUBTOTAL(109,Table167[Intra-school sports 35])</f>
        <v>0</v>
      </c>
      <c r="EV221">
        <f>SUBTOTAL(109,Table167[Intra-school sports 36])</f>
        <v>0</v>
      </c>
      <c r="EW221">
        <f>SUBTOTAL(109,Table167[Intra-school sports 37])</f>
        <v>0</v>
      </c>
      <c r="EX221">
        <f>SUBTOTAL(109,Table167[Intra-school sports 38])</f>
        <v>0</v>
      </c>
      <c r="EY221">
        <f>SUBTOTAL(109,Table167[Intra-school sports 39])</f>
        <v>0</v>
      </c>
      <c r="EZ221">
        <f>SUBTOTAL(109,Table167[Intra-school sports 40])</f>
        <v>0</v>
      </c>
      <c r="FA221">
        <f>SUBTOTAL(109,Table167[Intra-school sports 41])</f>
        <v>0</v>
      </c>
      <c r="FB221">
        <f>SUBTOTAL(109,Table167[Intra-school sports 42])</f>
        <v>0</v>
      </c>
      <c r="FC221">
        <f>SUBTOTAL(109,Table167[Intra-school sports 43])</f>
        <v>0</v>
      </c>
      <c r="FD221">
        <f>SUBTOTAL(109,Table167[Intra-school sports 44])</f>
        <v>0</v>
      </c>
      <c r="FE221">
        <f>SUBTOTAL(109,Table167[Intra-school sports 45])</f>
        <v>0</v>
      </c>
      <c r="FF221">
        <f>SUBTOTAL(109,Table167[Intra-school sports 46])</f>
        <v>0</v>
      </c>
      <c r="FG221">
        <f>SUBTOTAL(109,Table167[Intra-school sports 47])</f>
        <v>0</v>
      </c>
      <c r="FH221">
        <f>SUBTOTAL(109,Table167[Intra-school sports 48])</f>
        <v>0</v>
      </c>
      <c r="FI221">
        <f>SUBTOTAL(109,Table167[Intra-school sports 49])</f>
        <v>0</v>
      </c>
      <c r="FJ221">
        <f>SUBTOTAL(109,Table167[Intra-school sports 50])</f>
        <v>0</v>
      </c>
      <c r="FK221">
        <f>SUBTOTAL(109,Table167[Inter School sports 1])</f>
        <v>0</v>
      </c>
      <c r="FL221">
        <f>SUBTOTAL(109,Table167[Inter School sports 2])</f>
        <v>0</v>
      </c>
      <c r="FM221">
        <f>SUBTOTAL(109,Table167[Inter School sports 3])</f>
        <v>0</v>
      </c>
      <c r="FN221">
        <f>SUBTOTAL(109,Table167[Inter School sports 4])</f>
        <v>0</v>
      </c>
      <c r="FO221">
        <f>SUBTOTAL(109,Table167[Inter School sports 5])</f>
        <v>0</v>
      </c>
      <c r="FP221">
        <f>SUBTOTAL(109,Table167[Inter School sports 6])</f>
        <v>0</v>
      </c>
      <c r="FQ221">
        <f>SUBTOTAL(109,Table167[Inter School sports 7])</f>
        <v>0</v>
      </c>
      <c r="FR221">
        <f>SUBTOTAL(109,Table167[Inter School sports 8])</f>
        <v>0</v>
      </c>
      <c r="FS221">
        <f>SUBTOTAL(109,Table167[Inter School sports 9])</f>
        <v>0</v>
      </c>
      <c r="FT221">
        <f>SUBTOTAL(109,Table167[Inter School sports 10])</f>
        <v>0</v>
      </c>
      <c r="FU221">
        <f>SUBTOTAL(109,Table167[Inter School sports 11])</f>
        <v>0</v>
      </c>
      <c r="FV221">
        <f>SUBTOTAL(109,Table167[Inter School sports 12])</f>
        <v>0</v>
      </c>
      <c r="FW221">
        <f>SUBTOTAL(109,Table167[Inter School sports 13])</f>
        <v>0</v>
      </c>
      <c r="FX221">
        <f>SUBTOTAL(109,Table167[Inter School sports 14])</f>
        <v>0</v>
      </c>
      <c r="FY221">
        <f>SUBTOTAL(109,Table167[Inter School sports 15])</f>
        <v>0</v>
      </c>
      <c r="FZ221">
        <f>SUBTOTAL(109,Table167[Inter School sports 16])</f>
        <v>0</v>
      </c>
      <c r="GA221">
        <f>SUBTOTAL(109,Table167[Inter School sports 17])</f>
        <v>0</v>
      </c>
      <c r="GB221">
        <f>SUBTOTAL(109,Table167[Inter School sports 18])</f>
        <v>0</v>
      </c>
      <c r="GC221">
        <f>SUBTOTAL(109,Table167[Inter School sports 19])</f>
        <v>0</v>
      </c>
      <c r="GD221">
        <f>SUBTOTAL(109,Table167[Inter School sports 20])</f>
        <v>0</v>
      </c>
      <c r="GE221">
        <f>SUBTOTAL(109,Table167[Inter School sports 21])</f>
        <v>0</v>
      </c>
      <c r="GF221">
        <f>SUBTOTAL(109,Table167[Inter School sports 22])</f>
        <v>0</v>
      </c>
      <c r="GG221">
        <f>SUBTOTAL(109,Table167[Inter School sports 23])</f>
        <v>0</v>
      </c>
      <c r="GH221">
        <f>SUBTOTAL(109,Table167[Inter School sports 24])</f>
        <v>0</v>
      </c>
      <c r="GI221">
        <f>SUBTOTAL(109,Table167[Inter School sports 25])</f>
        <v>0</v>
      </c>
      <c r="GJ221">
        <f>SUBTOTAL(109,Table167[Inter School sports 26])</f>
        <v>0</v>
      </c>
      <c r="GK221">
        <f>SUBTOTAL(109,Table167[Inter School sports 27])</f>
        <v>0</v>
      </c>
      <c r="GL221">
        <f>SUBTOTAL(109,Table167[Inter School sports 28])</f>
        <v>0</v>
      </c>
      <c r="GM221">
        <f>SUBTOTAL(109,Table167[Inter School sports 29])</f>
        <v>0</v>
      </c>
      <c r="GN221">
        <f>SUBTOTAL(109,Table167[Inter School sports 30])</f>
        <v>0</v>
      </c>
      <c r="GO221">
        <f>SUBTOTAL(109,Table167[Inter School sports 31])</f>
        <v>0</v>
      </c>
      <c r="GP221">
        <f>SUBTOTAL(109,Table167[Inter School sports 32])</f>
        <v>0</v>
      </c>
      <c r="GQ221">
        <f>SUBTOTAL(109,Table167[Inter School sports 33])</f>
        <v>0</v>
      </c>
      <c r="GR221">
        <f>SUBTOTAL(109,Table167[Inter School sports 34])</f>
        <v>0</v>
      </c>
      <c r="GS221">
        <f>SUBTOTAL(109,Table167[Inter School sports 35])</f>
        <v>0</v>
      </c>
      <c r="GT221">
        <f>SUBTOTAL(109,Table167[Inter School sports 36])</f>
        <v>0</v>
      </c>
      <c r="GU221">
        <f>SUBTOTAL(109,Table167[Inter School sports 37])</f>
        <v>0</v>
      </c>
      <c r="GV221">
        <f>SUBTOTAL(109,Table167[Inter School sports 38])</f>
        <v>0</v>
      </c>
      <c r="GW221">
        <f>SUBTOTAL(109,Table167[Inter School sports 39])</f>
        <v>0</v>
      </c>
      <c r="GX221">
        <f>SUBTOTAL(109,Table167[Inter School sports 40])</f>
        <v>0</v>
      </c>
      <c r="GY221">
        <f>SUBTOTAL(109,Table167[Inter School sports 41])</f>
        <v>0</v>
      </c>
      <c r="GZ221">
        <f>SUBTOTAL(109,Table167[Inter School sports 42])</f>
        <v>0</v>
      </c>
      <c r="HA221">
        <f>SUBTOTAL(109,Table167[Inter School sports 43])</f>
        <v>0</v>
      </c>
      <c r="HB221">
        <f>SUBTOTAL(109,Table167[Inter School sports 44])</f>
        <v>0</v>
      </c>
      <c r="HC221">
        <f>SUBTOTAL(109,Table167[Inter School sports 45])</f>
        <v>0</v>
      </c>
      <c r="HD221">
        <f>SUBTOTAL(109,Table167[Inter School sports 46])</f>
        <v>0</v>
      </c>
      <c r="HE221">
        <f>SUBTOTAL(109,Table167[Inter School sports 47])</f>
        <v>0</v>
      </c>
      <c r="HF221">
        <f>SUBTOTAL(109,Table167[Inter School sports 48])</f>
        <v>0</v>
      </c>
      <c r="HG221">
        <f>SUBTOTAL(109,Table167[Inter School sports 49])</f>
        <v>0</v>
      </c>
      <c r="HH221">
        <f>SUBTOTAL(109,Table167[Inter School sports 50])</f>
        <v>0</v>
      </c>
      <c r="HI221"/>
      <c r="HJ221" s="65"/>
    </row>
  </sheetData>
  <mergeCells count="5">
    <mergeCell ref="B1:J1"/>
    <mergeCell ref="Q1:BN1"/>
    <mergeCell ref="BO1:DL1"/>
    <mergeCell ref="DM1:FJ1"/>
    <mergeCell ref="FK1:HH1"/>
  </mergeCell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221"/>
  <sheetViews>
    <sheetView showGridLines="0" workbookViewId="0">
      <pane xSplit="10" ySplit="3" topLeftCell="K4" activePane="bottomRight" state="frozen"/>
      <selection pane="topRight" activeCell="K1" sqref="K1"/>
      <selection pane="bottomLeft" activeCell="A4" sqref="A4"/>
      <selection pane="bottomRight" activeCell="G10" sqref="G10"/>
    </sheetView>
  </sheetViews>
  <sheetFormatPr defaultRowHeight="15" x14ac:dyDescent="0.25"/>
  <cols>
    <col min="1" max="1" width="14.140625" customWidth="1"/>
    <col min="2" max="2" width="13.85546875" customWidth="1"/>
    <col min="3" max="3" width="7.5703125" customWidth="1"/>
    <col min="4" max="4" width="9.28515625" customWidth="1"/>
    <col min="5" max="5" width="3.28515625" customWidth="1"/>
    <col min="6" max="6" width="4.140625" customWidth="1"/>
    <col min="7" max="9" width="3.28515625" customWidth="1"/>
    <col min="10" max="10" width="4" customWidth="1"/>
    <col min="11" max="11" width="4.28515625" style="2" customWidth="1"/>
    <col min="12" max="12" width="3.7109375" style="2" customWidth="1"/>
    <col min="13" max="16" width="4.28515625" style="2" customWidth="1"/>
    <col min="17" max="26" width="3.140625" customWidth="1"/>
    <col min="27" max="66" width="3.7109375" hidden="1" customWidth="1"/>
    <col min="67" max="81" width="2.5703125" customWidth="1"/>
    <col min="82" max="116" width="2.85546875" hidden="1" customWidth="1"/>
    <col min="117" max="131" width="3.140625" customWidth="1"/>
    <col min="132" max="166" width="3.7109375" hidden="1" customWidth="1"/>
    <col min="167" max="172" width="3.28515625" customWidth="1"/>
    <col min="173" max="181" width="3.140625" customWidth="1"/>
    <col min="182" max="216" width="3.140625" hidden="1" customWidth="1"/>
    <col min="217" max="217" width="24.140625" style="19" customWidth="1"/>
  </cols>
  <sheetData>
    <row r="1" spans="1:218" ht="43.5" customHeight="1" x14ac:dyDescent="0.25">
      <c r="B1" s="144" t="s">
        <v>315</v>
      </c>
      <c r="C1" s="144"/>
      <c r="D1" s="144"/>
      <c r="E1" s="144"/>
      <c r="F1" s="144"/>
      <c r="G1" s="144"/>
      <c r="H1" s="144"/>
      <c r="I1" s="144"/>
      <c r="J1" s="144"/>
      <c r="K1" s="86"/>
      <c r="L1" s="86"/>
      <c r="M1" s="86"/>
      <c r="N1" s="86"/>
      <c r="O1" s="86"/>
      <c r="P1" s="86"/>
      <c r="Q1" s="145" t="s">
        <v>31</v>
      </c>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6" t="s">
        <v>115</v>
      </c>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8" t="s">
        <v>323</v>
      </c>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9" t="s">
        <v>324</v>
      </c>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73"/>
    </row>
    <row r="2" spans="1:218" s="20" customFormat="1" ht="18.75" customHeight="1" x14ac:dyDescent="0.25">
      <c r="A2" s="20" t="s">
        <v>58</v>
      </c>
      <c r="E2" s="20">
        <f>Table1678[[#Totals],[FSM / PP]]</f>
        <v>1</v>
      </c>
      <c r="F2" s="20">
        <f>Table1678[[#Totals],[Ethnically Diverse]]</f>
        <v>1</v>
      </c>
      <c r="G2" s="20">
        <f>Table1678[[#Totals],[EAL]]</f>
        <v>1</v>
      </c>
      <c r="H2" s="20">
        <f>Table1678[[#Totals],[SEN]]</f>
        <v>0</v>
      </c>
      <c r="I2" s="20">
        <f>Table1678[[#Totals],[Young Leader]]</f>
        <v>1</v>
      </c>
      <c r="J2" s="20">
        <f>Table1678[[#Totals],[Least active]]</f>
        <v>0</v>
      </c>
      <c r="K2" s="87">
        <f>Table1678[[#Totals],[Total Challenges]]</f>
        <v>1</v>
      </c>
      <c r="L2" s="87">
        <f>Table1678[[#Totals],[Total Ex-C Clubs]]</f>
        <v>0</v>
      </c>
      <c r="M2" s="87">
        <f>Table1678[[#Totals],[Total Intra-School Sports]]</f>
        <v>0</v>
      </c>
      <c r="N2" s="87">
        <f>Table1678[[#Totals],[Total Inter-School Sports]]</f>
        <v>0</v>
      </c>
      <c r="O2" s="87">
        <f>Table1678[[#Totals],[Community Clubs]]</f>
        <v>0</v>
      </c>
      <c r="P2" s="87">
        <f>Table1678[[#Totals],[Active Opportunity]]</f>
        <v>1</v>
      </c>
      <c r="Q2" s="20">
        <f>Table1678[[#Totals],[Challenge 1]]</f>
        <v>0</v>
      </c>
      <c r="R2" s="20">
        <f>Table1678[[#Totals],[Challenge 2]]</f>
        <v>0</v>
      </c>
      <c r="S2" s="20">
        <f>Table1678[[#Totals],[Challenge 3]]</f>
        <v>0</v>
      </c>
      <c r="T2" s="20">
        <f>Table1678[[#Totals],[Challenge 4]]</f>
        <v>0</v>
      </c>
      <c r="U2" s="20">
        <f>Table1678[[#Totals],[Challenge 5]]</f>
        <v>0</v>
      </c>
      <c r="V2" s="20">
        <f>Table1678[[#Totals],[Challenge 6]]</f>
        <v>1</v>
      </c>
      <c r="W2" s="20">
        <f>Table1678[[#Totals],[Challenge 7]]</f>
        <v>0</v>
      </c>
      <c r="X2" s="20">
        <f>Table1678[[#Totals],[Challenge 8]]</f>
        <v>0</v>
      </c>
      <c r="Y2" s="20">
        <f>Table1678[[#Totals],[Challenge 9]]</f>
        <v>0</v>
      </c>
      <c r="Z2" s="20">
        <f>Table1678[[#Totals],[Challenge 10]]</f>
        <v>0</v>
      </c>
      <c r="AA2" s="20">
        <f>Table1678[[#Totals],[Challenge 11]]</f>
        <v>0</v>
      </c>
      <c r="AB2" s="20">
        <f>Table1678[[#Totals],[Challenge 12]]</f>
        <v>0</v>
      </c>
      <c r="AC2" s="20">
        <f>Table1678[[#Totals],[Challenge 13]]</f>
        <v>0</v>
      </c>
      <c r="AD2" s="20">
        <f>Table1678[[#Totals],[Challenge 14]]</f>
        <v>0</v>
      </c>
      <c r="AE2" s="20">
        <f>Table1678[[#Totals],[Challenge 15]]</f>
        <v>0</v>
      </c>
      <c r="AF2" s="20">
        <f>Table1678[[#Totals],[Challenge 16]]</f>
        <v>0</v>
      </c>
      <c r="AG2" s="20">
        <f>Table1678[[#Totals],[Challenge 17]]</f>
        <v>0</v>
      </c>
      <c r="AH2" s="20">
        <f>Table1678[[#Totals],[Challenge 18]]</f>
        <v>0</v>
      </c>
      <c r="AI2" s="20">
        <f>Table1678[[#Totals],[Challenge 19]]</f>
        <v>0</v>
      </c>
      <c r="AJ2" s="20">
        <f>Table1678[[#Totals],[Challenge 20]]</f>
        <v>0</v>
      </c>
      <c r="AK2" s="20">
        <f>Table1678[[#Totals],[Challenge 21]]</f>
        <v>0</v>
      </c>
      <c r="AL2" s="20">
        <f>Table1678[[#Totals],[Challenge 22]]</f>
        <v>0</v>
      </c>
      <c r="AM2" s="20">
        <f>Table1678[[#Totals],[Challenge 23]]</f>
        <v>0</v>
      </c>
      <c r="AN2" s="20">
        <f>Table1678[[#Totals],[Challenge 24]]</f>
        <v>0</v>
      </c>
      <c r="AO2" s="20">
        <f>Table1678[[#Totals],[Challenge 25]]</f>
        <v>0</v>
      </c>
      <c r="AP2" s="20">
        <f>Table1678[[#Totals],[Challenge 26]]</f>
        <v>0</v>
      </c>
      <c r="AQ2" s="20">
        <f>Table1678[[#Totals],[Challenge 27]]</f>
        <v>0</v>
      </c>
      <c r="AR2" s="20">
        <f>Table1678[[#Totals],[Challenge 28]]</f>
        <v>0</v>
      </c>
      <c r="AS2" s="20">
        <f>Table1678[[#Totals],[Challenge 29]]</f>
        <v>0</v>
      </c>
      <c r="AT2" s="20">
        <f>Table1678[[#Totals],[Challenge 30]]</f>
        <v>0</v>
      </c>
      <c r="AU2" s="20">
        <f>Table1678[[#Totals],[Challenge 31]]</f>
        <v>0</v>
      </c>
      <c r="AV2" s="20">
        <f>Table1678[[#Totals],[Challenge 32]]</f>
        <v>0</v>
      </c>
      <c r="AW2" s="20">
        <f>Table1678[[#Totals],[Challenge 33]]</f>
        <v>0</v>
      </c>
      <c r="AX2" s="20">
        <f>Table1678[[#Totals],[Challenge 34]]</f>
        <v>0</v>
      </c>
      <c r="AY2" s="20">
        <f>Table1678[[#Totals],[Challenge 35]]</f>
        <v>0</v>
      </c>
      <c r="AZ2" s="20">
        <f>Table1678[[#Totals],[Challenge 36]]</f>
        <v>0</v>
      </c>
      <c r="BA2" s="20">
        <f>Table1678[[#Totals],[Challenge 37]]</f>
        <v>0</v>
      </c>
      <c r="BB2" s="20">
        <f>Table1678[[#Totals],[Challenge 38]]</f>
        <v>0</v>
      </c>
      <c r="BC2" s="20">
        <f>Table1678[[#Totals],[Challenge 39]]</f>
        <v>0</v>
      </c>
      <c r="BD2" s="20">
        <f>Table1678[[#Totals],[Challenge 40]]</f>
        <v>0</v>
      </c>
      <c r="BE2" s="20">
        <f>Table1678[[#Totals],[Challenge 41]]</f>
        <v>0</v>
      </c>
      <c r="BF2" s="20">
        <f>Table1678[[#Totals],[Challenge 42]]</f>
        <v>0</v>
      </c>
      <c r="BG2" s="20">
        <f>Table1678[[#Totals],[Challenge 43]]</f>
        <v>0</v>
      </c>
      <c r="BH2" s="20">
        <f>Table1678[[#Totals],[Challenge 44]]</f>
        <v>0</v>
      </c>
      <c r="BI2" s="20">
        <f>Table1678[[#Totals],[Challenge 45]]</f>
        <v>0</v>
      </c>
      <c r="BJ2" s="20">
        <f>Table1678[[#Totals],[Challenge 46]]</f>
        <v>0</v>
      </c>
      <c r="BK2" s="20">
        <f>Table1678[[#Totals],[Challenge 47]]</f>
        <v>0</v>
      </c>
      <c r="BL2" s="20">
        <f>Table1678[[#Totals],[Challenge 48]]</f>
        <v>0</v>
      </c>
      <c r="BM2" s="20">
        <f>Table1678[[#Totals],[Challenge 49]]</f>
        <v>0</v>
      </c>
      <c r="BN2" s="20">
        <f>Table1678[[#Totals],[Challenge 50]]</f>
        <v>0</v>
      </c>
      <c r="BO2" s="20">
        <f>Table1678[[#Totals],[Club 1]]</f>
        <v>0</v>
      </c>
      <c r="BP2" s="20">
        <f>Table1678[[#Totals],[Club 2]]</f>
        <v>0</v>
      </c>
      <c r="BQ2" s="20">
        <f>Table1678[[#Totals],[Club 3]]</f>
        <v>0</v>
      </c>
      <c r="BR2" s="20">
        <f>Table1678[[#Totals],[Club 4]]</f>
        <v>0</v>
      </c>
      <c r="BS2" s="20">
        <f>Table1678[[#Totals],[Club 5]]</f>
        <v>0</v>
      </c>
      <c r="BT2" s="20">
        <f>Table1678[[#Totals],[Club 6]]</f>
        <v>0</v>
      </c>
      <c r="BU2" s="20">
        <f>Table1678[[#Totals],[Club 7]]</f>
        <v>0</v>
      </c>
      <c r="BV2" s="20">
        <f>Table1678[[#Totals],[Club 8]]</f>
        <v>0</v>
      </c>
      <c r="BW2" s="20">
        <f>Table1678[[#Totals],[Club 9]]</f>
        <v>0</v>
      </c>
      <c r="BX2" s="20">
        <f>Table1678[[#Totals],[Club 10]]</f>
        <v>0</v>
      </c>
      <c r="BY2" s="20">
        <f>Table1678[[#Totals],[Club 11]]</f>
        <v>0</v>
      </c>
      <c r="BZ2" s="20">
        <f>Table1678[[#Totals],[Club 12]]</f>
        <v>0</v>
      </c>
      <c r="CA2" s="20">
        <f>Table1678[[#Totals],[Club 13]]</f>
        <v>0</v>
      </c>
      <c r="CB2" s="20">
        <f>Table1678[[#Totals],[Club 14]]</f>
        <v>0</v>
      </c>
      <c r="CC2" s="20">
        <f>Table1678[[#Totals],[Club 15]]</f>
        <v>0</v>
      </c>
      <c r="CD2" s="20">
        <f>Table1678[[#Totals],[Club 16]]</f>
        <v>0</v>
      </c>
      <c r="CE2" s="20">
        <f>Table1678[[#Totals],[Club 17]]</f>
        <v>0</v>
      </c>
      <c r="CF2" s="20">
        <f>Table1678[[#Totals],[Club 18]]</f>
        <v>0</v>
      </c>
      <c r="CG2" s="20">
        <f>Table1678[[#Totals],[Club 19]]</f>
        <v>0</v>
      </c>
      <c r="CH2" s="20">
        <f>Table1678[[#Totals],[Club 20]]</f>
        <v>0</v>
      </c>
      <c r="CI2" s="20">
        <f>Table1678[[#Totals],[Club 21]]</f>
        <v>0</v>
      </c>
      <c r="CJ2" s="20">
        <f>Table1678[[#Totals],[Club 22]]</f>
        <v>0</v>
      </c>
      <c r="CK2" s="20">
        <f>Table1678[[#Totals],[Club 23]]</f>
        <v>0</v>
      </c>
      <c r="CL2" s="20">
        <f>Table1678[[#Totals],[Club 24]]</f>
        <v>0</v>
      </c>
      <c r="CM2" s="20">
        <f>Table1678[[#Totals],[Club 25]]</f>
        <v>0</v>
      </c>
      <c r="CN2" s="20">
        <f>Table1678[[#Totals],[Club 26]]</f>
        <v>0</v>
      </c>
      <c r="CO2" s="20">
        <f>Table1678[[#Totals],[Club 27]]</f>
        <v>0</v>
      </c>
      <c r="CP2" s="20">
        <f>Table1678[[#Totals],[Club 28]]</f>
        <v>0</v>
      </c>
      <c r="CQ2" s="20">
        <f>Table1678[[#Totals],[Club 29]]</f>
        <v>0</v>
      </c>
      <c r="CR2" s="20">
        <f>Table1678[[#Totals],[Club 30]]</f>
        <v>0</v>
      </c>
      <c r="CS2" s="20">
        <f>Table1678[[#Totals],[Club 31]]</f>
        <v>0</v>
      </c>
      <c r="CT2" s="20">
        <f>Table1678[[#Totals],[Club 32]]</f>
        <v>0</v>
      </c>
      <c r="CU2" s="20">
        <f>Table1678[[#Totals],[Club 33]]</f>
        <v>0</v>
      </c>
      <c r="CV2" s="20">
        <f>Table1678[[#Totals],[Club 34]]</f>
        <v>0</v>
      </c>
      <c r="CW2" s="20">
        <f>Table1678[[#Totals],[Club 35]]</f>
        <v>0</v>
      </c>
      <c r="CX2" s="20">
        <f>Table1678[[#Totals],[Club 36]]</f>
        <v>0</v>
      </c>
      <c r="CY2" s="20">
        <f>Table1678[[#Totals],[Club 37]]</f>
        <v>0</v>
      </c>
      <c r="CZ2" s="20">
        <f>Table1678[[#Totals],[Club 38]]</f>
        <v>0</v>
      </c>
      <c r="DA2" s="20">
        <f>Table1678[[#Totals],[Club 39]]</f>
        <v>0</v>
      </c>
      <c r="DB2" s="20">
        <f>Table1678[[#Totals],[Club 40]]</f>
        <v>0</v>
      </c>
      <c r="DC2" s="20">
        <f>Table1678[[#Totals],[Club 41]]</f>
        <v>0</v>
      </c>
      <c r="DD2" s="20">
        <f>Table1678[[#Totals],[Club 42]]</f>
        <v>0</v>
      </c>
      <c r="DE2" s="20">
        <f>Table1678[[#Totals],[Club 43]]</f>
        <v>0</v>
      </c>
      <c r="DF2" s="20">
        <f>Table1678[[#Totals],[Club 44]]</f>
        <v>0</v>
      </c>
      <c r="DG2" s="20">
        <f>Table1678[[#Totals],[Club 45]]</f>
        <v>0</v>
      </c>
      <c r="DH2" s="20">
        <f>Table1678[[#Totals],[Club 46]]</f>
        <v>0</v>
      </c>
      <c r="DI2" s="20">
        <f>Table1678[[#Totals],[Club 47]]</f>
        <v>0</v>
      </c>
      <c r="DJ2" s="20">
        <f>Table1678[[#Totals],[Club 48]]</f>
        <v>0</v>
      </c>
      <c r="DK2" s="20">
        <f>Table1678[[#Totals],[Club 49]]</f>
        <v>0</v>
      </c>
      <c r="DL2" s="20">
        <f>Table1678[[#Totals],[Club 50]]</f>
        <v>0</v>
      </c>
      <c r="DM2" s="20">
        <f>Table1678[[#Totals],[Intra-school sports 1]]</f>
        <v>0</v>
      </c>
      <c r="DN2" s="20">
        <f>Table1678[[#Totals],[Intra-school sports 2]]</f>
        <v>0</v>
      </c>
      <c r="DO2" s="20">
        <f>Table1678[[#Totals],[Intra-school sports 3]]</f>
        <v>0</v>
      </c>
      <c r="DP2" s="20">
        <f>Table1678[[#Totals],[Intra-school sports 4]]</f>
        <v>0</v>
      </c>
      <c r="DQ2" s="20">
        <f>Table1678[[#Totals],[Intra-school sports 5]]</f>
        <v>0</v>
      </c>
      <c r="DR2" s="20">
        <f>Table1678[[#Totals],[Intra-school sports 6]]</f>
        <v>0</v>
      </c>
      <c r="DS2" s="20">
        <f>Table1678[[#Totals],[Intra-school sports 7]]</f>
        <v>0</v>
      </c>
      <c r="DT2" s="20">
        <f>Table1678[[#Totals],[Intra-school sports 8]]</f>
        <v>0</v>
      </c>
      <c r="DU2" s="20">
        <f>Table1678[[#Totals],[Intra-school sports 9]]</f>
        <v>0</v>
      </c>
      <c r="DV2" s="20">
        <f>Table1678[[#Totals],[Intra-school sports 10]]</f>
        <v>0</v>
      </c>
      <c r="DW2" s="20">
        <f>Table1678[[#Totals],[Intra-school sports 11]]</f>
        <v>0</v>
      </c>
      <c r="DX2" s="20">
        <f>Table1678[[#Totals],[Intra-school sports 12]]</f>
        <v>0</v>
      </c>
      <c r="DY2" s="20">
        <f>Table1678[[#Totals],[Intra-school sports 13]]</f>
        <v>0</v>
      </c>
      <c r="DZ2" s="20">
        <f>Table1678[[#Totals],[Intra-school sports 14]]</f>
        <v>0</v>
      </c>
      <c r="EA2" s="20">
        <f>Table1678[[#Totals],[Intra-school sports 15]]</f>
        <v>0</v>
      </c>
      <c r="EB2" s="20">
        <f>Table1678[[#Totals],[Intra-school sports 16]]</f>
        <v>0</v>
      </c>
      <c r="EC2" s="20">
        <f>Table1678[[#Totals],[Intra-school sports 17]]</f>
        <v>0</v>
      </c>
      <c r="ED2" s="20">
        <f>Table1678[[#Totals],[Intra-school sports 18]]</f>
        <v>0</v>
      </c>
      <c r="EE2" s="20">
        <f>Table1678[[#Totals],[Intra-school sports 19]]</f>
        <v>0</v>
      </c>
      <c r="EF2" s="20">
        <f>Table1678[[#Totals],[Intra-school sports 20]]</f>
        <v>0</v>
      </c>
      <c r="EG2" s="20">
        <f>Table1678[[#Totals],[Intra-school sports 21]]</f>
        <v>0</v>
      </c>
      <c r="EH2" s="20">
        <f>Table1678[[#Totals],[Intra-school sports 22]]</f>
        <v>0</v>
      </c>
      <c r="EI2" s="20">
        <f>Table1678[[#Totals],[Intra-school sports 23]]</f>
        <v>0</v>
      </c>
      <c r="EJ2" s="20">
        <f>Table1678[[#Totals],[Intra-school sports 24]]</f>
        <v>0</v>
      </c>
      <c r="EK2" s="20">
        <f>Table1678[[#Totals],[Intra-school sports 25]]</f>
        <v>0</v>
      </c>
      <c r="EL2" s="20">
        <f>Table1678[[#Totals],[Intra-school sports 26]]</f>
        <v>0</v>
      </c>
      <c r="EM2" s="20">
        <f>Table1678[[#Totals],[Intra-school sports 27]]</f>
        <v>0</v>
      </c>
      <c r="EN2" s="20">
        <f>Table1678[[#Totals],[Intra-school sports 28]]</f>
        <v>0</v>
      </c>
      <c r="EO2" s="20">
        <f>Table1678[[#Totals],[Intra-school sports 29]]</f>
        <v>0</v>
      </c>
      <c r="EP2" s="20">
        <f>Table1678[[#Totals],[Intra-school sports 30]]</f>
        <v>0</v>
      </c>
      <c r="EQ2" s="20">
        <f>Table1678[[#Totals],[Intra-school sports 31]]</f>
        <v>0</v>
      </c>
      <c r="ER2" s="20">
        <f>Table1678[[#Totals],[Intra-school sports 32]]</f>
        <v>0</v>
      </c>
      <c r="ES2" s="20">
        <f>Table1678[[#Totals],[Intra-school sports 33]]</f>
        <v>0</v>
      </c>
      <c r="ET2" s="20">
        <f>Table1678[[#Totals],[Intra-school sports 34]]</f>
        <v>0</v>
      </c>
      <c r="EU2" s="20">
        <f>Table1678[[#Totals],[Intra-school sports 35]]</f>
        <v>0</v>
      </c>
      <c r="EV2" s="20">
        <f>Table1678[[#Totals],[Intra-school sports 36]]</f>
        <v>0</v>
      </c>
      <c r="EW2" s="20">
        <f>Table1678[[#Totals],[Intra-school sports 37]]</f>
        <v>0</v>
      </c>
      <c r="EX2" s="20">
        <f>Table1678[[#Totals],[Intra-school sports 38]]</f>
        <v>0</v>
      </c>
      <c r="EY2" s="20">
        <f>Table1678[[#Totals],[Intra-school sports 39]]</f>
        <v>0</v>
      </c>
      <c r="EZ2" s="20">
        <f>Table1678[[#Totals],[Intra-school sports 40]]</f>
        <v>0</v>
      </c>
      <c r="FA2" s="20">
        <f>Table1678[[#Totals],[Intra-school sports 41]]</f>
        <v>0</v>
      </c>
      <c r="FB2" s="20">
        <f>Table1678[[#Totals],[Intra-school sports 42]]</f>
        <v>0</v>
      </c>
      <c r="FC2" s="20">
        <f>Table1678[[#Totals],[Intra-school sports 43]]</f>
        <v>0</v>
      </c>
      <c r="FD2" s="20">
        <f>Table1678[[#Totals],[Intra-school sports 44]]</f>
        <v>0</v>
      </c>
      <c r="FE2" s="20">
        <f>Table1678[[#Totals],[Intra-school sports 45]]</f>
        <v>0</v>
      </c>
      <c r="FF2" s="20">
        <f>Table1678[[#Totals],[Intra-school sports 46]]</f>
        <v>0</v>
      </c>
      <c r="FG2" s="20">
        <f>Table1678[[#Totals],[Intra-school sports 47]]</f>
        <v>0</v>
      </c>
      <c r="FH2" s="20">
        <f>Table1678[[#Totals],[Intra-school sports 48]]</f>
        <v>0</v>
      </c>
      <c r="FI2" s="20">
        <f>Table1678[[#Totals],[Intra-school sports 49]]</f>
        <v>0</v>
      </c>
      <c r="FJ2" s="20">
        <f>Table1678[[#Totals],[Intra-school sports 50]]</f>
        <v>0</v>
      </c>
      <c r="FK2" s="20">
        <f>Table1678[[#Totals],[Inter School sports 1]]</f>
        <v>0</v>
      </c>
      <c r="FL2" s="20">
        <f>Table1678[[#Totals],[Inter School sports 2]]</f>
        <v>0</v>
      </c>
      <c r="FM2" s="20">
        <f>Table1678[[#Totals],[Inter School sports 3]]</f>
        <v>0</v>
      </c>
      <c r="FN2" s="20">
        <f>Table1678[[#Totals],[Inter School sports 4]]</f>
        <v>0</v>
      </c>
      <c r="FO2" s="20">
        <f>Table1678[[#Totals],[Inter School sports 5]]</f>
        <v>0</v>
      </c>
      <c r="FP2" s="20">
        <f>Table1678[[#Totals],[Inter School sports 6]]</f>
        <v>0</v>
      </c>
      <c r="FQ2" s="20">
        <f>Table1678[[#Totals],[Inter School sports 7]]</f>
        <v>0</v>
      </c>
      <c r="FR2" s="20">
        <f>Table1678[[#Totals],[Inter School sports 8]]</f>
        <v>0</v>
      </c>
      <c r="FS2" s="20">
        <f>Table1678[[#Totals],[Inter School sports 9]]</f>
        <v>0</v>
      </c>
      <c r="FT2" s="20">
        <f>Table1678[[#Totals],[Inter School sports 10]]</f>
        <v>0</v>
      </c>
      <c r="FU2" s="20">
        <f>Table1678[[#Totals],[Inter School sports 11]]</f>
        <v>0</v>
      </c>
      <c r="FV2" s="20">
        <f>Table1678[[#Totals],[Inter School sports 12]]</f>
        <v>0</v>
      </c>
      <c r="FW2" s="20">
        <f>Table1678[[#Totals],[Inter School sports 13]]</f>
        <v>0</v>
      </c>
      <c r="FX2" s="20">
        <f>Table1678[[#Totals],[Inter School sports 14]]</f>
        <v>0</v>
      </c>
      <c r="FY2" s="20">
        <f>Table1678[[#Totals],[Inter School sports 15]]</f>
        <v>0</v>
      </c>
      <c r="FZ2" s="20">
        <f>Table1678[[#Totals],[Inter School sports 16]]</f>
        <v>0</v>
      </c>
      <c r="GA2" s="20">
        <f>Table1678[[#Totals],[Inter School sports 17]]</f>
        <v>0</v>
      </c>
      <c r="GB2" s="20">
        <f>Table1678[[#Totals],[Inter School sports 18]]</f>
        <v>0</v>
      </c>
      <c r="GC2" s="20">
        <f>Table1678[[#Totals],[Inter School sports 19]]</f>
        <v>0</v>
      </c>
      <c r="GD2" s="20">
        <f>Table1678[[#Totals],[Inter School sports 20]]</f>
        <v>0</v>
      </c>
      <c r="GE2" s="20">
        <f>Table1678[[#Totals],[Inter School sports 21]]</f>
        <v>0</v>
      </c>
      <c r="GF2" s="20">
        <f>Table1678[[#Totals],[Inter School sports 22]]</f>
        <v>0</v>
      </c>
      <c r="GG2" s="20">
        <f>Table1678[[#Totals],[Inter School sports 23]]</f>
        <v>0</v>
      </c>
      <c r="GH2" s="20">
        <f>Table1678[[#Totals],[Inter School sports 24]]</f>
        <v>0</v>
      </c>
      <c r="GI2" s="20">
        <f>Table1678[[#Totals],[Inter School sports 25]]</f>
        <v>0</v>
      </c>
      <c r="GJ2" s="20">
        <f>Table1678[[#Totals],[Inter School sports 26]]</f>
        <v>0</v>
      </c>
      <c r="GK2" s="20">
        <f>Table1678[[#Totals],[Inter School sports 27]]</f>
        <v>0</v>
      </c>
      <c r="GL2" s="20">
        <f>Table1678[[#Totals],[Inter School sports 28]]</f>
        <v>0</v>
      </c>
      <c r="GM2" s="20">
        <f>Table1678[[#Totals],[Inter School sports 29]]</f>
        <v>0</v>
      </c>
      <c r="GN2" s="20">
        <f>Table1678[[#Totals],[Inter School sports 30]]</f>
        <v>0</v>
      </c>
      <c r="GO2" s="20">
        <f>Table1678[[#Totals],[Inter School sports 31]]</f>
        <v>0</v>
      </c>
      <c r="GP2" s="20">
        <f>Table1678[[#Totals],[Inter School sports 32]]</f>
        <v>0</v>
      </c>
      <c r="GQ2" s="20">
        <f>Table1678[[#Totals],[Inter School sports 33]]</f>
        <v>0</v>
      </c>
      <c r="GR2" s="20">
        <f>Table1678[[#Totals],[Inter School sports 34]]</f>
        <v>0</v>
      </c>
      <c r="GS2" s="20">
        <f>Table1678[[#Totals],[Inter School sports 35]]</f>
        <v>0</v>
      </c>
      <c r="GT2" s="20">
        <f>Table1678[[#Totals],[Inter School sports 36]]</f>
        <v>0</v>
      </c>
      <c r="GU2" s="20">
        <f>Table1678[[#Totals],[Inter School sports 37]]</f>
        <v>0</v>
      </c>
      <c r="GV2" s="20">
        <f>Table1678[[#Totals],[Inter School sports 38]]</f>
        <v>0</v>
      </c>
      <c r="GW2" s="20">
        <f>Table1678[[#Totals],[Inter School sports 39]]</f>
        <v>0</v>
      </c>
      <c r="GX2" s="20">
        <f>Table1678[[#Totals],[Inter School sports 40]]</f>
        <v>0</v>
      </c>
      <c r="GY2" s="20">
        <f>Table1678[[#Totals],[Inter School sports 41]]</f>
        <v>0</v>
      </c>
      <c r="GZ2" s="20">
        <f>Table1678[[#Totals],[Inter School sports 42]]</f>
        <v>0</v>
      </c>
      <c r="HA2" s="20">
        <f>Table1678[[#Totals],[Inter School sports 43]]</f>
        <v>0</v>
      </c>
      <c r="HB2" s="20">
        <f>Table1678[[#Totals],[Inter School sports 44]]</f>
        <v>0</v>
      </c>
      <c r="HC2" s="20">
        <f>Table1678[[#Totals],[Inter School sports 45]]</f>
        <v>0</v>
      </c>
      <c r="HD2" s="20">
        <f>Table1678[[#Totals],[Inter School sports 46]]</f>
        <v>0</v>
      </c>
      <c r="HE2" s="20">
        <f>Table1678[[#Totals],[Inter School sports 47]]</f>
        <v>0</v>
      </c>
      <c r="HF2" s="20">
        <f>Table1678[[#Totals],[Inter School sports 48]]</f>
        <v>0</v>
      </c>
      <c r="HG2" s="20">
        <f>Table1678[[#Totals],[Inter School sports 49]]</f>
        <v>0</v>
      </c>
      <c r="HH2" s="20">
        <f>Table1678[[#Totals],[Inter School sports 50]]</f>
        <v>0</v>
      </c>
      <c r="HJ2"/>
    </row>
    <row r="3" spans="1:218" ht="134.25" customHeight="1" x14ac:dyDescent="0.25">
      <c r="A3" s="15" t="s">
        <v>39</v>
      </c>
      <c r="B3" s="15" t="s">
        <v>40</v>
      </c>
      <c r="C3" s="15" t="s">
        <v>41</v>
      </c>
      <c r="D3" s="15" t="s">
        <v>317</v>
      </c>
      <c r="E3" s="16" t="s">
        <v>316</v>
      </c>
      <c r="F3" s="16" t="s">
        <v>332</v>
      </c>
      <c r="G3" s="16" t="s">
        <v>42</v>
      </c>
      <c r="H3" s="16" t="s">
        <v>43</v>
      </c>
      <c r="I3" s="16" t="s">
        <v>44</v>
      </c>
      <c r="J3" s="16" t="s">
        <v>74</v>
      </c>
      <c r="K3" s="23" t="s">
        <v>318</v>
      </c>
      <c r="L3" s="25" t="s">
        <v>319</v>
      </c>
      <c r="M3" s="26" t="s">
        <v>320</v>
      </c>
      <c r="N3" s="27" t="s">
        <v>321</v>
      </c>
      <c r="O3" s="74" t="s">
        <v>306</v>
      </c>
      <c r="P3" s="82" t="s">
        <v>322</v>
      </c>
      <c r="Q3" s="23" t="s">
        <v>51</v>
      </c>
      <c r="R3" s="23" t="s">
        <v>52</v>
      </c>
      <c r="S3" s="23" t="s">
        <v>53</v>
      </c>
      <c r="T3" s="23" t="s">
        <v>54</v>
      </c>
      <c r="U3" s="23" t="s">
        <v>55</v>
      </c>
      <c r="V3" s="23" t="s">
        <v>56</v>
      </c>
      <c r="W3" s="23" t="s">
        <v>162</v>
      </c>
      <c r="X3" s="23" t="s">
        <v>163</v>
      </c>
      <c r="Y3" s="23" t="s">
        <v>164</v>
      </c>
      <c r="Z3" s="23" t="s">
        <v>165</v>
      </c>
      <c r="AA3" s="23" t="s">
        <v>166</v>
      </c>
      <c r="AB3" s="23" t="s">
        <v>167</v>
      </c>
      <c r="AC3" s="23" t="s">
        <v>168</v>
      </c>
      <c r="AD3" s="23" t="s">
        <v>169</v>
      </c>
      <c r="AE3" s="23" t="s">
        <v>170</v>
      </c>
      <c r="AF3" s="23" t="s">
        <v>171</v>
      </c>
      <c r="AG3" s="23" t="s">
        <v>172</v>
      </c>
      <c r="AH3" s="23" t="s">
        <v>173</v>
      </c>
      <c r="AI3" s="23" t="s">
        <v>174</v>
      </c>
      <c r="AJ3" s="23" t="s">
        <v>175</v>
      </c>
      <c r="AK3" s="23" t="s">
        <v>176</v>
      </c>
      <c r="AL3" s="23" t="s">
        <v>177</v>
      </c>
      <c r="AM3" s="23" t="s">
        <v>178</v>
      </c>
      <c r="AN3" s="23" t="s">
        <v>179</v>
      </c>
      <c r="AO3" s="23" t="s">
        <v>180</v>
      </c>
      <c r="AP3" s="23" t="s">
        <v>181</v>
      </c>
      <c r="AQ3" s="23" t="s">
        <v>182</v>
      </c>
      <c r="AR3" s="23" t="s">
        <v>183</v>
      </c>
      <c r="AS3" s="23" t="s">
        <v>184</v>
      </c>
      <c r="AT3" s="23" t="s">
        <v>185</v>
      </c>
      <c r="AU3" s="23" t="s">
        <v>186</v>
      </c>
      <c r="AV3" s="23" t="s">
        <v>187</v>
      </c>
      <c r="AW3" s="23" t="s">
        <v>188</v>
      </c>
      <c r="AX3" s="23" t="s">
        <v>189</v>
      </c>
      <c r="AY3" s="23" t="s">
        <v>190</v>
      </c>
      <c r="AZ3" s="23" t="s">
        <v>191</v>
      </c>
      <c r="BA3" s="23" t="s">
        <v>192</v>
      </c>
      <c r="BB3" s="23" t="s">
        <v>193</v>
      </c>
      <c r="BC3" s="23" t="s">
        <v>194</v>
      </c>
      <c r="BD3" s="23" t="s">
        <v>195</v>
      </c>
      <c r="BE3" s="23" t="s">
        <v>196</v>
      </c>
      <c r="BF3" s="23" t="s">
        <v>197</v>
      </c>
      <c r="BG3" s="23" t="s">
        <v>198</v>
      </c>
      <c r="BH3" s="23" t="s">
        <v>199</v>
      </c>
      <c r="BI3" s="23" t="s">
        <v>200</v>
      </c>
      <c r="BJ3" s="23" t="s">
        <v>201</v>
      </c>
      <c r="BK3" s="23" t="s">
        <v>202</v>
      </c>
      <c r="BL3" s="23" t="s">
        <v>203</v>
      </c>
      <c r="BM3" s="23" t="s">
        <v>204</v>
      </c>
      <c r="BN3" s="23" t="s">
        <v>205</v>
      </c>
      <c r="BO3" s="24" t="s">
        <v>45</v>
      </c>
      <c r="BP3" s="24" t="s">
        <v>46</v>
      </c>
      <c r="BQ3" s="24" t="s">
        <v>47</v>
      </c>
      <c r="BR3" s="24" t="s">
        <v>48</v>
      </c>
      <c r="BS3" s="24" t="s">
        <v>49</v>
      </c>
      <c r="BT3" s="24" t="s">
        <v>50</v>
      </c>
      <c r="BU3" s="24" t="s">
        <v>117</v>
      </c>
      <c r="BV3" s="24" t="s">
        <v>123</v>
      </c>
      <c r="BW3" s="24" t="s">
        <v>124</v>
      </c>
      <c r="BX3" s="24" t="s">
        <v>125</v>
      </c>
      <c r="BY3" s="24" t="s">
        <v>126</v>
      </c>
      <c r="BZ3" s="24" t="s">
        <v>127</v>
      </c>
      <c r="CA3" s="24" t="s">
        <v>128</v>
      </c>
      <c r="CB3" s="24" t="s">
        <v>129</v>
      </c>
      <c r="CC3" s="24" t="s">
        <v>130</v>
      </c>
      <c r="CD3" s="24" t="s">
        <v>131</v>
      </c>
      <c r="CE3" s="24" t="s">
        <v>132</v>
      </c>
      <c r="CF3" s="24" t="s">
        <v>133</v>
      </c>
      <c r="CG3" s="24" t="s">
        <v>134</v>
      </c>
      <c r="CH3" s="24" t="s">
        <v>135</v>
      </c>
      <c r="CI3" s="24" t="s">
        <v>136</v>
      </c>
      <c r="CJ3" s="24" t="s">
        <v>137</v>
      </c>
      <c r="CK3" s="24" t="s">
        <v>138</v>
      </c>
      <c r="CL3" s="24" t="s">
        <v>139</v>
      </c>
      <c r="CM3" s="24" t="s">
        <v>140</v>
      </c>
      <c r="CN3" s="24" t="s">
        <v>141</v>
      </c>
      <c r="CO3" s="24" t="s">
        <v>142</v>
      </c>
      <c r="CP3" s="24" t="s">
        <v>143</v>
      </c>
      <c r="CQ3" s="24" t="s">
        <v>144</v>
      </c>
      <c r="CR3" s="24" t="s">
        <v>145</v>
      </c>
      <c r="CS3" s="24" t="s">
        <v>146</v>
      </c>
      <c r="CT3" s="24" t="s">
        <v>119</v>
      </c>
      <c r="CU3" s="24" t="s">
        <v>120</v>
      </c>
      <c r="CV3" s="24" t="s">
        <v>121</v>
      </c>
      <c r="CW3" s="24" t="s">
        <v>122</v>
      </c>
      <c r="CX3" s="24" t="s">
        <v>147</v>
      </c>
      <c r="CY3" s="24" t="s">
        <v>148</v>
      </c>
      <c r="CZ3" s="24" t="s">
        <v>149</v>
      </c>
      <c r="DA3" s="24" t="s">
        <v>150</v>
      </c>
      <c r="DB3" s="24" t="s">
        <v>151</v>
      </c>
      <c r="DC3" s="24" t="s">
        <v>152</v>
      </c>
      <c r="DD3" s="24" t="s">
        <v>153</v>
      </c>
      <c r="DE3" s="24" t="s">
        <v>154</v>
      </c>
      <c r="DF3" s="24" t="s">
        <v>155</v>
      </c>
      <c r="DG3" s="24" t="s">
        <v>156</v>
      </c>
      <c r="DH3" s="24" t="s">
        <v>157</v>
      </c>
      <c r="DI3" s="24" t="s">
        <v>158</v>
      </c>
      <c r="DJ3" s="24" t="s">
        <v>159</v>
      </c>
      <c r="DK3" s="24" t="s">
        <v>160</v>
      </c>
      <c r="DL3" s="24" t="s">
        <v>161</v>
      </c>
      <c r="DM3" s="26" t="s">
        <v>62</v>
      </c>
      <c r="DN3" s="26" t="s">
        <v>63</v>
      </c>
      <c r="DO3" s="26" t="s">
        <v>64</v>
      </c>
      <c r="DP3" s="26" t="s">
        <v>65</v>
      </c>
      <c r="DQ3" s="26" t="s">
        <v>66</v>
      </c>
      <c r="DR3" s="26" t="s">
        <v>67</v>
      </c>
      <c r="DS3" s="26" t="s">
        <v>206</v>
      </c>
      <c r="DT3" s="26" t="s">
        <v>207</v>
      </c>
      <c r="DU3" s="26" t="s">
        <v>208</v>
      </c>
      <c r="DV3" s="26" t="s">
        <v>209</v>
      </c>
      <c r="DW3" s="26" t="s">
        <v>210</v>
      </c>
      <c r="DX3" s="26" t="s">
        <v>211</v>
      </c>
      <c r="DY3" s="26" t="s">
        <v>212</v>
      </c>
      <c r="DZ3" s="26" t="s">
        <v>213</v>
      </c>
      <c r="EA3" s="26" t="s">
        <v>214</v>
      </c>
      <c r="EB3" s="26" t="s">
        <v>215</v>
      </c>
      <c r="EC3" s="26" t="s">
        <v>216</v>
      </c>
      <c r="ED3" s="26" t="s">
        <v>217</v>
      </c>
      <c r="EE3" s="26" t="s">
        <v>218</v>
      </c>
      <c r="EF3" s="26" t="s">
        <v>219</v>
      </c>
      <c r="EG3" s="26" t="s">
        <v>220</v>
      </c>
      <c r="EH3" s="26" t="s">
        <v>221</v>
      </c>
      <c r="EI3" s="26" t="s">
        <v>222</v>
      </c>
      <c r="EJ3" s="26" t="s">
        <v>223</v>
      </c>
      <c r="EK3" s="26" t="s">
        <v>224</v>
      </c>
      <c r="EL3" s="26" t="s">
        <v>225</v>
      </c>
      <c r="EM3" s="26" t="s">
        <v>226</v>
      </c>
      <c r="EN3" s="26" t="s">
        <v>227</v>
      </c>
      <c r="EO3" s="26" t="s">
        <v>228</v>
      </c>
      <c r="EP3" s="26" t="s">
        <v>229</v>
      </c>
      <c r="EQ3" s="26" t="s">
        <v>230</v>
      </c>
      <c r="ER3" s="26" t="s">
        <v>231</v>
      </c>
      <c r="ES3" s="26" t="s">
        <v>232</v>
      </c>
      <c r="ET3" s="26" t="s">
        <v>233</v>
      </c>
      <c r="EU3" s="26" t="s">
        <v>234</v>
      </c>
      <c r="EV3" s="26" t="s">
        <v>235</v>
      </c>
      <c r="EW3" s="26" t="s">
        <v>236</v>
      </c>
      <c r="EX3" s="26" t="s">
        <v>237</v>
      </c>
      <c r="EY3" s="26" t="s">
        <v>238</v>
      </c>
      <c r="EZ3" s="26" t="s">
        <v>239</v>
      </c>
      <c r="FA3" s="26" t="s">
        <v>240</v>
      </c>
      <c r="FB3" s="26" t="s">
        <v>241</v>
      </c>
      <c r="FC3" s="26" t="s">
        <v>242</v>
      </c>
      <c r="FD3" s="26" t="s">
        <v>243</v>
      </c>
      <c r="FE3" s="26" t="s">
        <v>244</v>
      </c>
      <c r="FF3" s="26" t="s">
        <v>245</v>
      </c>
      <c r="FG3" s="26" t="s">
        <v>246</v>
      </c>
      <c r="FH3" s="26" t="s">
        <v>247</v>
      </c>
      <c r="FI3" s="26" t="s">
        <v>248</v>
      </c>
      <c r="FJ3" s="26" t="s">
        <v>249</v>
      </c>
      <c r="FK3" s="27" t="s">
        <v>68</v>
      </c>
      <c r="FL3" s="27" t="s">
        <v>69</v>
      </c>
      <c r="FM3" s="27" t="s">
        <v>70</v>
      </c>
      <c r="FN3" s="27" t="s">
        <v>71</v>
      </c>
      <c r="FO3" s="27" t="s">
        <v>72</v>
      </c>
      <c r="FP3" s="27" t="s">
        <v>73</v>
      </c>
      <c r="FQ3" s="27" t="s">
        <v>118</v>
      </c>
      <c r="FR3" s="27" t="s">
        <v>250</v>
      </c>
      <c r="FS3" s="27" t="s">
        <v>251</v>
      </c>
      <c r="FT3" s="27" t="s">
        <v>252</v>
      </c>
      <c r="FU3" s="27" t="s">
        <v>253</v>
      </c>
      <c r="FV3" s="27" t="s">
        <v>254</v>
      </c>
      <c r="FW3" s="27" t="s">
        <v>255</v>
      </c>
      <c r="FX3" s="27" t="s">
        <v>256</v>
      </c>
      <c r="FY3" s="27" t="s">
        <v>257</v>
      </c>
      <c r="FZ3" s="27" t="s">
        <v>258</v>
      </c>
      <c r="GA3" s="27" t="s">
        <v>259</v>
      </c>
      <c r="GB3" s="27" t="s">
        <v>260</v>
      </c>
      <c r="GC3" s="27" t="s">
        <v>261</v>
      </c>
      <c r="GD3" s="27" t="s">
        <v>262</v>
      </c>
      <c r="GE3" s="27" t="s">
        <v>263</v>
      </c>
      <c r="GF3" s="27" t="s">
        <v>264</v>
      </c>
      <c r="GG3" s="27" t="s">
        <v>265</v>
      </c>
      <c r="GH3" s="27" t="s">
        <v>266</v>
      </c>
      <c r="GI3" s="27" t="s">
        <v>267</v>
      </c>
      <c r="GJ3" s="27" t="s">
        <v>268</v>
      </c>
      <c r="GK3" s="27" t="s">
        <v>269</v>
      </c>
      <c r="GL3" s="27" t="s">
        <v>270</v>
      </c>
      <c r="GM3" s="27" t="s">
        <v>271</v>
      </c>
      <c r="GN3" s="27" t="s">
        <v>272</v>
      </c>
      <c r="GO3" s="27" t="s">
        <v>273</v>
      </c>
      <c r="GP3" s="27" t="s">
        <v>274</v>
      </c>
      <c r="GQ3" s="27" t="s">
        <v>275</v>
      </c>
      <c r="GR3" s="27" t="s">
        <v>276</v>
      </c>
      <c r="GS3" s="27" t="s">
        <v>277</v>
      </c>
      <c r="GT3" s="27" t="s">
        <v>278</v>
      </c>
      <c r="GU3" s="27" t="s">
        <v>279</v>
      </c>
      <c r="GV3" s="27" t="s">
        <v>280</v>
      </c>
      <c r="GW3" s="27" t="s">
        <v>281</v>
      </c>
      <c r="GX3" s="27" t="s">
        <v>282</v>
      </c>
      <c r="GY3" s="27" t="s">
        <v>283</v>
      </c>
      <c r="GZ3" s="27" t="s">
        <v>284</v>
      </c>
      <c r="HA3" s="27" t="s">
        <v>285</v>
      </c>
      <c r="HB3" s="27" t="s">
        <v>286</v>
      </c>
      <c r="HC3" s="27" t="s">
        <v>287</v>
      </c>
      <c r="HD3" s="27" t="s">
        <v>288</v>
      </c>
      <c r="HE3" s="27" t="s">
        <v>289</v>
      </c>
      <c r="HF3" s="27" t="s">
        <v>290</v>
      </c>
      <c r="HG3" s="27" t="s">
        <v>291</v>
      </c>
      <c r="HH3" s="27" t="s">
        <v>292</v>
      </c>
      <c r="HI3" s="75" t="s">
        <v>307</v>
      </c>
    </row>
    <row r="4" spans="1:218" x14ac:dyDescent="0.25">
      <c r="A4" s="22" t="s">
        <v>61</v>
      </c>
      <c r="B4" s="22" t="s">
        <v>61</v>
      </c>
      <c r="C4" s="22" t="s">
        <v>59</v>
      </c>
      <c r="D4" s="22" t="s">
        <v>60</v>
      </c>
      <c r="E4" s="22">
        <v>1</v>
      </c>
      <c r="F4" s="22">
        <v>1</v>
      </c>
      <c r="G4" s="22">
        <v>1</v>
      </c>
      <c r="H4" s="22">
        <v>0</v>
      </c>
      <c r="I4" s="22">
        <v>1</v>
      </c>
      <c r="J4" s="22">
        <v>0</v>
      </c>
      <c r="K4" s="17">
        <f>SUM(Table1678[[#This Row],[Challenge 1]:[Challenge 50]])</f>
        <v>1</v>
      </c>
      <c r="L4" s="88">
        <f>SUM(Table1678[[#This Row],[Club 1]:[Club 50]])</f>
        <v>0</v>
      </c>
      <c r="M4" s="88">
        <f>SUM(Table1678[[#This Row],[Intra-school sports 1]:[Intra-school sports 50]])</f>
        <v>0</v>
      </c>
      <c r="N4" s="88">
        <f>SUM(Table1678[[#This Row],[Inter School sports 1]:[Inter School sports 50]])</f>
        <v>0</v>
      </c>
      <c r="O4" s="17">
        <f>COUNTIF(Table1678[[#This Row],[Community club (type name of club(s). All clubs will count as ''1'']],"*")</f>
        <v>0</v>
      </c>
      <c r="P4" s="17">
        <f>IF(OR(Table1678[[#This Row],[Total Challenges]]&gt;0,Table1678[[#This Row],[Total Ex-C Clubs]]&gt;0,Table1678[[#This Row],[Total Intra-School Sports]]&gt;0,Table1678[[#This Row],[Total Inter-School Sports]]&gt;0,Table1678[[#This Row],[Community Clubs]]&gt;0),1,0)</f>
        <v>1</v>
      </c>
      <c r="Q4" s="22">
        <v>0</v>
      </c>
      <c r="R4" s="22">
        <v>0</v>
      </c>
      <c r="S4" s="22">
        <v>0</v>
      </c>
      <c r="T4" s="22">
        <v>0</v>
      </c>
      <c r="U4" s="22">
        <v>0</v>
      </c>
      <c r="V4" s="22">
        <v>1</v>
      </c>
      <c r="W4" s="22">
        <v>0</v>
      </c>
      <c r="X4" s="22">
        <v>0</v>
      </c>
      <c r="Y4" s="22">
        <v>0</v>
      </c>
      <c r="Z4" s="22">
        <v>0</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18">
        <v>0</v>
      </c>
      <c r="BP4" s="18">
        <v>0</v>
      </c>
      <c r="BQ4" s="18">
        <v>0</v>
      </c>
      <c r="BR4" s="18">
        <v>0</v>
      </c>
      <c r="BS4" s="18">
        <v>0</v>
      </c>
      <c r="BT4" s="18">
        <v>0</v>
      </c>
      <c r="BU4" s="18">
        <v>0</v>
      </c>
      <c r="BV4" s="18">
        <v>0</v>
      </c>
      <c r="BW4" s="18">
        <v>0</v>
      </c>
      <c r="BX4" s="18">
        <v>0</v>
      </c>
      <c r="BY4" s="18">
        <v>0</v>
      </c>
      <c r="BZ4" s="18">
        <v>0</v>
      </c>
      <c r="CA4" s="18">
        <v>0</v>
      </c>
      <c r="CB4" s="18">
        <v>0</v>
      </c>
      <c r="CC4" s="18">
        <v>0</v>
      </c>
      <c r="CD4" s="18">
        <v>0</v>
      </c>
      <c r="CE4" s="18">
        <v>0</v>
      </c>
      <c r="CF4" s="18">
        <v>0</v>
      </c>
      <c r="CG4" s="18">
        <v>0</v>
      </c>
      <c r="CH4" s="18">
        <v>0</v>
      </c>
      <c r="CI4" s="18">
        <v>0</v>
      </c>
      <c r="CJ4" s="18">
        <v>0</v>
      </c>
      <c r="CK4" s="18">
        <v>0</v>
      </c>
      <c r="CL4" s="18">
        <v>0</v>
      </c>
      <c r="CM4" s="18">
        <v>0</v>
      </c>
      <c r="CN4" s="18">
        <v>0</v>
      </c>
      <c r="CO4" s="18">
        <v>0</v>
      </c>
      <c r="CP4" s="18">
        <v>0</v>
      </c>
      <c r="CQ4" s="18">
        <v>0</v>
      </c>
      <c r="CR4" s="18">
        <v>0</v>
      </c>
      <c r="CS4" s="18">
        <v>0</v>
      </c>
      <c r="CT4" s="18">
        <v>0</v>
      </c>
      <c r="CU4" s="18">
        <v>0</v>
      </c>
      <c r="CV4" s="18">
        <v>0</v>
      </c>
      <c r="CW4" s="18">
        <v>0</v>
      </c>
      <c r="CX4" s="18">
        <v>0</v>
      </c>
      <c r="CY4" s="18">
        <v>0</v>
      </c>
      <c r="CZ4" s="18">
        <v>0</v>
      </c>
      <c r="DA4" s="18">
        <v>0</v>
      </c>
      <c r="DB4" s="18">
        <v>0</v>
      </c>
      <c r="DC4" s="18">
        <v>0</v>
      </c>
      <c r="DD4" s="18">
        <v>0</v>
      </c>
      <c r="DE4" s="18">
        <v>0</v>
      </c>
      <c r="DF4" s="18">
        <v>0</v>
      </c>
      <c r="DG4" s="18">
        <v>0</v>
      </c>
      <c r="DH4" s="18">
        <v>0</v>
      </c>
      <c r="DI4" s="18">
        <v>0</v>
      </c>
      <c r="DJ4" s="18">
        <v>0</v>
      </c>
      <c r="DK4" s="18">
        <v>0</v>
      </c>
      <c r="DL4" s="18">
        <v>0</v>
      </c>
      <c r="DM4" s="18">
        <v>0</v>
      </c>
      <c r="DN4" s="18">
        <v>0</v>
      </c>
      <c r="DO4" s="18">
        <v>0</v>
      </c>
      <c r="DP4" s="18">
        <v>0</v>
      </c>
      <c r="DQ4" s="18">
        <v>0</v>
      </c>
      <c r="DR4" s="18">
        <v>0</v>
      </c>
      <c r="DS4" s="18">
        <v>0</v>
      </c>
      <c r="DT4" s="18">
        <v>0</v>
      </c>
      <c r="DU4" s="18">
        <v>0</v>
      </c>
      <c r="DV4" s="18">
        <v>0</v>
      </c>
      <c r="DW4" s="18">
        <v>0</v>
      </c>
      <c r="DX4" s="18">
        <v>0</v>
      </c>
      <c r="DY4" s="18">
        <v>0</v>
      </c>
      <c r="DZ4" s="18">
        <v>0</v>
      </c>
      <c r="EA4" s="18">
        <v>0</v>
      </c>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v>0</v>
      </c>
      <c r="FL4" s="18">
        <v>0</v>
      </c>
      <c r="FM4" s="18">
        <v>0</v>
      </c>
      <c r="FN4" s="18">
        <v>0</v>
      </c>
      <c r="FO4" s="18">
        <v>0</v>
      </c>
      <c r="FP4" s="18">
        <v>0</v>
      </c>
      <c r="FQ4" s="18">
        <v>0</v>
      </c>
      <c r="FR4" s="18">
        <v>0</v>
      </c>
      <c r="FS4" s="18">
        <v>0</v>
      </c>
      <c r="FT4" s="18">
        <v>0</v>
      </c>
      <c r="FU4" s="18">
        <v>0</v>
      </c>
      <c r="FV4" s="18">
        <v>0</v>
      </c>
      <c r="FW4" s="18">
        <v>0</v>
      </c>
      <c r="FX4" s="18">
        <v>0</v>
      </c>
      <c r="FY4" s="18">
        <v>0</v>
      </c>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row>
    <row r="5" spans="1:218" x14ac:dyDescent="0.25">
      <c r="A5" s="22"/>
      <c r="B5" s="22"/>
      <c r="C5" s="22"/>
      <c r="D5" s="22"/>
      <c r="E5" s="22"/>
      <c r="F5" s="22"/>
      <c r="G5" s="22"/>
      <c r="H5" s="22"/>
      <c r="I5" s="22"/>
      <c r="J5" s="22"/>
      <c r="K5" s="17">
        <f>SUM(Table1678[[#This Row],[Challenge 1]:[Challenge 50]])</f>
        <v>0</v>
      </c>
      <c r="L5" s="88">
        <f>SUM(Table1678[[#This Row],[Club 1]:[Club 50]])</f>
        <v>0</v>
      </c>
      <c r="M5" s="88">
        <f>SUM(Table1678[[#This Row],[Intra-school sports 1]:[Intra-school sports 50]])</f>
        <v>0</v>
      </c>
      <c r="N5" s="88">
        <f>SUM(Table1678[[#This Row],[Inter School sports 1]:[Inter School sports 50]])</f>
        <v>0</v>
      </c>
      <c r="O5" s="17">
        <f>COUNTIF(Table1678[[#This Row],[Community club (type name of club(s). All clubs will count as ''1'']],"*")</f>
        <v>0</v>
      </c>
      <c r="P5" s="17">
        <f>IF(OR(Table1678[[#This Row],[Total Challenges]]&gt;0,Table1678[[#This Row],[Total Ex-C Clubs]]&gt;0,Table1678[[#This Row],[Total Intra-School Sports]]&gt;0,Table1678[[#This Row],[Total Inter-School Sports]]&gt;0,Table1678[[#This Row],[Community Clubs]]&gt;0),1,0)</f>
        <v>0</v>
      </c>
      <c r="Q5" s="22"/>
      <c r="R5" s="22"/>
      <c r="S5" s="22"/>
      <c r="T5" s="22"/>
      <c r="U5" s="22"/>
      <c r="V5" s="22"/>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row>
    <row r="6" spans="1:218" x14ac:dyDescent="0.25">
      <c r="A6" s="22"/>
      <c r="B6" s="22"/>
      <c r="C6" s="22"/>
      <c r="D6" s="22"/>
      <c r="E6" s="22"/>
      <c r="F6" s="22"/>
      <c r="G6" s="22"/>
      <c r="H6" s="22"/>
      <c r="I6" s="22"/>
      <c r="J6" s="22"/>
      <c r="K6" s="17">
        <f>SUM(Table1678[[#This Row],[Challenge 1]:[Challenge 50]])</f>
        <v>0</v>
      </c>
      <c r="L6" s="88">
        <f>SUM(Table1678[[#This Row],[Club 1]:[Club 50]])</f>
        <v>0</v>
      </c>
      <c r="M6" s="88">
        <f>SUM(Table1678[[#This Row],[Intra-school sports 1]:[Intra-school sports 50]])</f>
        <v>0</v>
      </c>
      <c r="N6" s="88">
        <f>SUM(Table1678[[#This Row],[Inter School sports 1]:[Inter School sports 50]])</f>
        <v>0</v>
      </c>
      <c r="O6" s="17">
        <f>COUNTIF(Table1678[[#This Row],[Community club (type name of club(s). All clubs will count as ''1'']],"*")</f>
        <v>0</v>
      </c>
      <c r="P6" s="17">
        <f>IF(OR(Table1678[[#This Row],[Total Challenges]]&gt;0,Table1678[[#This Row],[Total Ex-C Clubs]]&gt;0,Table1678[[#This Row],[Total Intra-School Sports]]&gt;0,Table1678[[#This Row],[Total Inter-School Sports]]&gt;0,Table1678[[#This Row],[Community Clubs]]&gt;0),1,0)</f>
        <v>0</v>
      </c>
      <c r="Q6" s="22"/>
      <c r="R6" s="22"/>
      <c r="S6" s="22"/>
      <c r="T6" s="22"/>
      <c r="U6" s="22"/>
      <c r="V6" s="22"/>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row>
    <row r="7" spans="1:218" x14ac:dyDescent="0.25">
      <c r="A7" s="22"/>
      <c r="B7" s="22"/>
      <c r="C7" s="22"/>
      <c r="D7" s="22"/>
      <c r="E7" s="22"/>
      <c r="F7" s="22"/>
      <c r="G7" s="22"/>
      <c r="H7" s="22"/>
      <c r="I7" s="22"/>
      <c r="J7" s="22"/>
      <c r="K7" s="17">
        <f>SUM(Table1678[[#This Row],[Challenge 1]:[Challenge 50]])</f>
        <v>0</v>
      </c>
      <c r="L7" s="88">
        <f>SUM(Table1678[[#This Row],[Club 1]:[Club 50]])</f>
        <v>0</v>
      </c>
      <c r="M7" s="88">
        <f>SUM(Table1678[[#This Row],[Intra-school sports 1]:[Intra-school sports 50]])</f>
        <v>0</v>
      </c>
      <c r="N7" s="88">
        <f>SUM(Table1678[[#This Row],[Inter School sports 1]:[Inter School sports 50]])</f>
        <v>0</v>
      </c>
      <c r="O7" s="17">
        <f>COUNTIF(Table1678[[#This Row],[Community club (type name of club(s). All clubs will count as ''1'']],"*")</f>
        <v>0</v>
      </c>
      <c r="P7" s="17">
        <f>IF(OR(Table1678[[#This Row],[Total Challenges]]&gt;0,Table1678[[#This Row],[Total Ex-C Clubs]]&gt;0,Table1678[[#This Row],[Total Intra-School Sports]]&gt;0,Table1678[[#This Row],[Total Inter-School Sports]]&gt;0,Table1678[[#This Row],[Community Clubs]]&gt;0),1,0)</f>
        <v>0</v>
      </c>
      <c r="Q7" s="22"/>
      <c r="R7" s="22"/>
      <c r="S7" s="22"/>
      <c r="T7" s="22"/>
      <c r="U7" s="22"/>
      <c r="V7" s="22"/>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row>
    <row r="8" spans="1:218" x14ac:dyDescent="0.25">
      <c r="A8" s="22"/>
      <c r="B8" s="22"/>
      <c r="C8" s="22"/>
      <c r="D8" s="22"/>
      <c r="E8" s="22"/>
      <c r="F8" s="22"/>
      <c r="G8" s="22"/>
      <c r="H8" s="22"/>
      <c r="I8" s="22"/>
      <c r="J8" s="22"/>
      <c r="K8" s="17">
        <f>SUM(Table1678[[#This Row],[Challenge 1]:[Challenge 50]])</f>
        <v>0</v>
      </c>
      <c r="L8" s="88">
        <f>SUM(Table1678[[#This Row],[Club 1]:[Club 50]])</f>
        <v>0</v>
      </c>
      <c r="M8" s="88">
        <f>SUM(Table1678[[#This Row],[Intra-school sports 1]:[Intra-school sports 50]])</f>
        <v>0</v>
      </c>
      <c r="N8" s="88">
        <f>SUM(Table1678[[#This Row],[Inter School sports 1]:[Inter School sports 50]])</f>
        <v>0</v>
      </c>
      <c r="O8" s="17">
        <f>COUNTIF(Table1678[[#This Row],[Community club (type name of club(s). All clubs will count as ''1'']],"*")</f>
        <v>0</v>
      </c>
      <c r="P8" s="17">
        <f>IF(OR(Table1678[[#This Row],[Total Challenges]]&gt;0,Table1678[[#This Row],[Total Ex-C Clubs]]&gt;0,Table1678[[#This Row],[Total Intra-School Sports]]&gt;0,Table1678[[#This Row],[Total Inter-School Sports]]&gt;0,Table1678[[#This Row],[Community Clubs]]&gt;0),1,0)</f>
        <v>0</v>
      </c>
      <c r="Q8" s="22"/>
      <c r="R8" s="22"/>
      <c r="S8" s="22"/>
      <c r="T8" s="22"/>
      <c r="U8" s="22"/>
      <c r="V8" s="22"/>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21"/>
    </row>
    <row r="9" spans="1:218" x14ac:dyDescent="0.25">
      <c r="A9" s="22"/>
      <c r="B9" s="22"/>
      <c r="C9" s="22"/>
      <c r="D9" s="22"/>
      <c r="E9" s="22"/>
      <c r="F9" s="22"/>
      <c r="G9" s="22"/>
      <c r="H9" s="22"/>
      <c r="I9" s="22"/>
      <c r="J9" s="22"/>
      <c r="K9" s="17">
        <f>SUM(Table1678[[#This Row],[Challenge 1]:[Challenge 50]])</f>
        <v>0</v>
      </c>
      <c r="L9" s="88">
        <f>SUM(Table1678[[#This Row],[Club 1]:[Club 50]])</f>
        <v>0</v>
      </c>
      <c r="M9" s="88">
        <f>SUM(Table1678[[#This Row],[Intra-school sports 1]:[Intra-school sports 50]])</f>
        <v>0</v>
      </c>
      <c r="N9" s="88">
        <f>SUM(Table1678[[#This Row],[Inter School sports 1]:[Inter School sports 50]])</f>
        <v>0</v>
      </c>
      <c r="O9" s="17">
        <f>COUNTIF(Table1678[[#This Row],[Community club (type name of club(s). All clubs will count as ''1'']],"*")</f>
        <v>0</v>
      </c>
      <c r="P9" s="17">
        <f>IF(OR(Table1678[[#This Row],[Total Challenges]]&gt;0,Table1678[[#This Row],[Total Ex-C Clubs]]&gt;0,Table1678[[#This Row],[Total Intra-School Sports]]&gt;0,Table1678[[#This Row],[Total Inter-School Sports]]&gt;0,Table1678[[#This Row],[Community Clubs]]&gt;0),1,0)</f>
        <v>0</v>
      </c>
      <c r="Q9" s="22"/>
      <c r="R9" s="22"/>
      <c r="S9" s="22"/>
      <c r="T9" s="22"/>
      <c r="U9" s="22"/>
      <c r="V9" s="22"/>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21"/>
    </row>
    <row r="10" spans="1:218" x14ac:dyDescent="0.25">
      <c r="A10" s="22"/>
      <c r="B10" s="22"/>
      <c r="C10" s="22"/>
      <c r="D10" s="22"/>
      <c r="E10" s="22"/>
      <c r="F10" s="22"/>
      <c r="G10" s="22"/>
      <c r="H10" s="22"/>
      <c r="I10" s="22"/>
      <c r="J10" s="22"/>
      <c r="K10" s="17">
        <f>SUM(Table1678[[#This Row],[Challenge 1]:[Challenge 50]])</f>
        <v>0</v>
      </c>
      <c r="L10" s="88">
        <f>SUM(Table1678[[#This Row],[Club 1]:[Club 50]])</f>
        <v>0</v>
      </c>
      <c r="M10" s="88">
        <f>SUM(Table1678[[#This Row],[Intra-school sports 1]:[Intra-school sports 50]])</f>
        <v>0</v>
      </c>
      <c r="N10" s="88">
        <f>SUM(Table1678[[#This Row],[Inter School sports 1]:[Inter School sports 50]])</f>
        <v>0</v>
      </c>
      <c r="O10" s="17">
        <f>COUNTIF(Table1678[[#This Row],[Community club (type name of club(s). All clubs will count as ''1'']],"*")</f>
        <v>0</v>
      </c>
      <c r="P10" s="17">
        <f>IF(OR(Table1678[[#This Row],[Total Challenges]]&gt;0,Table1678[[#This Row],[Total Ex-C Clubs]]&gt;0,Table1678[[#This Row],[Total Intra-School Sports]]&gt;0,Table1678[[#This Row],[Total Inter-School Sports]]&gt;0,Table1678[[#This Row],[Community Clubs]]&gt;0),1,0)</f>
        <v>0</v>
      </c>
      <c r="Q10" s="22"/>
      <c r="R10" s="22"/>
      <c r="S10" s="22"/>
      <c r="T10" s="22"/>
      <c r="U10" s="22"/>
      <c r="V10" s="22"/>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21"/>
    </row>
    <row r="11" spans="1:218" x14ac:dyDescent="0.25">
      <c r="A11" s="22"/>
      <c r="B11" s="22"/>
      <c r="C11" s="22"/>
      <c r="D11" s="22"/>
      <c r="E11" s="22"/>
      <c r="F11" s="22"/>
      <c r="G11" s="22"/>
      <c r="H11" s="22"/>
      <c r="I11" s="22"/>
      <c r="J11" s="22"/>
      <c r="K11" s="17">
        <f>SUM(Table1678[[#This Row],[Challenge 1]:[Challenge 50]])</f>
        <v>0</v>
      </c>
      <c r="L11" s="88">
        <f>SUM(Table1678[[#This Row],[Club 1]:[Club 50]])</f>
        <v>0</v>
      </c>
      <c r="M11" s="88">
        <f>SUM(Table1678[[#This Row],[Intra-school sports 1]:[Intra-school sports 50]])</f>
        <v>0</v>
      </c>
      <c r="N11" s="88">
        <f>SUM(Table1678[[#This Row],[Inter School sports 1]:[Inter School sports 50]])</f>
        <v>0</v>
      </c>
      <c r="O11" s="17">
        <f>COUNTIF(Table1678[[#This Row],[Community club (type name of club(s). All clubs will count as ''1'']],"*")</f>
        <v>0</v>
      </c>
      <c r="P11" s="17">
        <f>IF(OR(Table1678[[#This Row],[Total Challenges]]&gt;0,Table1678[[#This Row],[Total Ex-C Clubs]]&gt;0,Table1678[[#This Row],[Total Intra-School Sports]]&gt;0,Table1678[[#This Row],[Total Inter-School Sports]]&gt;0,Table1678[[#This Row],[Community Clubs]]&gt;0),1,0)</f>
        <v>0</v>
      </c>
      <c r="Q11" s="22"/>
      <c r="R11" s="22"/>
      <c r="S11" s="22"/>
      <c r="T11" s="22"/>
      <c r="U11" s="22"/>
      <c r="V11" s="22"/>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21"/>
    </row>
    <row r="12" spans="1:218" x14ac:dyDescent="0.25">
      <c r="A12" s="22"/>
      <c r="B12" s="22"/>
      <c r="C12" s="22"/>
      <c r="D12" s="22"/>
      <c r="E12" s="22"/>
      <c r="F12" s="22"/>
      <c r="G12" s="22"/>
      <c r="H12" s="22"/>
      <c r="I12" s="22"/>
      <c r="J12" s="22"/>
      <c r="K12" s="17">
        <f>SUM(Table1678[[#This Row],[Challenge 1]:[Challenge 50]])</f>
        <v>0</v>
      </c>
      <c r="L12" s="88">
        <f>SUM(Table1678[[#This Row],[Club 1]:[Club 50]])</f>
        <v>0</v>
      </c>
      <c r="M12" s="88">
        <f>SUM(Table1678[[#This Row],[Intra-school sports 1]:[Intra-school sports 50]])</f>
        <v>0</v>
      </c>
      <c r="N12" s="88">
        <f>SUM(Table1678[[#This Row],[Inter School sports 1]:[Inter School sports 50]])</f>
        <v>0</v>
      </c>
      <c r="O12" s="17">
        <f>COUNTIF(Table1678[[#This Row],[Community club (type name of club(s). All clubs will count as ''1'']],"*")</f>
        <v>0</v>
      </c>
      <c r="P12" s="17">
        <f>IF(OR(Table1678[[#This Row],[Total Challenges]]&gt;0,Table1678[[#This Row],[Total Ex-C Clubs]]&gt;0,Table1678[[#This Row],[Total Intra-School Sports]]&gt;0,Table1678[[#This Row],[Total Inter-School Sports]]&gt;0,Table1678[[#This Row],[Community Clubs]]&gt;0),1,0)</f>
        <v>0</v>
      </c>
      <c r="Q12" s="22"/>
      <c r="R12" s="22"/>
      <c r="S12" s="22"/>
      <c r="T12" s="22"/>
      <c r="U12" s="22"/>
      <c r="V12" s="22"/>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21"/>
    </row>
    <row r="13" spans="1:218" x14ac:dyDescent="0.25">
      <c r="A13" s="22"/>
      <c r="B13" s="22"/>
      <c r="C13" s="22"/>
      <c r="D13" s="22"/>
      <c r="E13" s="22"/>
      <c r="F13" s="22"/>
      <c r="G13" s="22"/>
      <c r="H13" s="22"/>
      <c r="I13" s="22"/>
      <c r="J13" s="22"/>
      <c r="K13" s="17">
        <f>SUM(Table1678[[#This Row],[Challenge 1]:[Challenge 50]])</f>
        <v>0</v>
      </c>
      <c r="L13" s="88">
        <f>SUM(Table1678[[#This Row],[Club 1]:[Club 50]])</f>
        <v>0</v>
      </c>
      <c r="M13" s="88">
        <f>SUM(Table1678[[#This Row],[Intra-school sports 1]:[Intra-school sports 50]])</f>
        <v>0</v>
      </c>
      <c r="N13" s="88">
        <f>SUM(Table1678[[#This Row],[Inter School sports 1]:[Inter School sports 50]])</f>
        <v>0</v>
      </c>
      <c r="O13" s="17">
        <f>COUNTIF(Table1678[[#This Row],[Community club (type name of club(s). All clubs will count as ''1'']],"*")</f>
        <v>0</v>
      </c>
      <c r="P13" s="17">
        <f>IF(OR(Table1678[[#This Row],[Total Challenges]]&gt;0,Table1678[[#This Row],[Total Ex-C Clubs]]&gt;0,Table1678[[#This Row],[Total Intra-School Sports]]&gt;0,Table1678[[#This Row],[Total Inter-School Sports]]&gt;0,Table1678[[#This Row],[Community Clubs]]&gt;0),1,0)</f>
        <v>0</v>
      </c>
      <c r="Q13" s="22"/>
      <c r="R13" s="22"/>
      <c r="S13" s="22"/>
      <c r="T13" s="22"/>
      <c r="U13" s="22"/>
      <c r="V13" s="22"/>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21"/>
    </row>
    <row r="14" spans="1:218" x14ac:dyDescent="0.25">
      <c r="A14" s="22"/>
      <c r="B14" s="22"/>
      <c r="C14" s="22"/>
      <c r="D14" s="22"/>
      <c r="E14" s="22"/>
      <c r="F14" s="22"/>
      <c r="G14" s="22"/>
      <c r="H14" s="22"/>
      <c r="I14" s="22"/>
      <c r="J14" s="22"/>
      <c r="K14" s="17">
        <f>SUM(Table1678[[#This Row],[Challenge 1]:[Challenge 50]])</f>
        <v>0</v>
      </c>
      <c r="L14" s="88">
        <f>SUM(Table1678[[#This Row],[Club 1]:[Club 50]])</f>
        <v>0</v>
      </c>
      <c r="M14" s="88">
        <f>SUM(Table1678[[#This Row],[Intra-school sports 1]:[Intra-school sports 50]])</f>
        <v>0</v>
      </c>
      <c r="N14" s="88">
        <f>SUM(Table1678[[#This Row],[Inter School sports 1]:[Inter School sports 50]])</f>
        <v>0</v>
      </c>
      <c r="O14" s="17">
        <f>COUNTIF(Table1678[[#This Row],[Community club (type name of club(s). All clubs will count as ''1'']],"*")</f>
        <v>0</v>
      </c>
      <c r="P14" s="17">
        <f>IF(OR(Table1678[[#This Row],[Total Challenges]]&gt;0,Table1678[[#This Row],[Total Ex-C Clubs]]&gt;0,Table1678[[#This Row],[Total Intra-School Sports]]&gt;0,Table1678[[#This Row],[Total Inter-School Sports]]&gt;0,Table1678[[#This Row],[Community Clubs]]&gt;0),1,0)</f>
        <v>0</v>
      </c>
      <c r="Q14" s="22"/>
      <c r="R14" s="22"/>
      <c r="S14" s="22"/>
      <c r="T14" s="22"/>
      <c r="U14" s="22"/>
      <c r="V14" s="22"/>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21"/>
    </row>
    <row r="15" spans="1:218" x14ac:dyDescent="0.25">
      <c r="A15" s="22"/>
      <c r="B15" s="22"/>
      <c r="C15" s="22"/>
      <c r="D15" s="22"/>
      <c r="E15" s="22"/>
      <c r="F15" s="22"/>
      <c r="G15" s="22"/>
      <c r="H15" s="22"/>
      <c r="I15" s="22"/>
      <c r="J15" s="22"/>
      <c r="K15" s="17">
        <f>SUM(Table1678[[#This Row],[Challenge 1]:[Challenge 50]])</f>
        <v>0</v>
      </c>
      <c r="L15" s="88">
        <f>SUM(Table1678[[#This Row],[Club 1]:[Club 50]])</f>
        <v>0</v>
      </c>
      <c r="M15" s="88">
        <f>SUM(Table1678[[#This Row],[Intra-school sports 1]:[Intra-school sports 50]])</f>
        <v>0</v>
      </c>
      <c r="N15" s="88">
        <f>SUM(Table1678[[#This Row],[Inter School sports 1]:[Inter School sports 50]])</f>
        <v>0</v>
      </c>
      <c r="O15" s="17">
        <f>COUNTIF(Table1678[[#This Row],[Community club (type name of club(s). All clubs will count as ''1'']],"*")</f>
        <v>0</v>
      </c>
      <c r="P15" s="17">
        <f>IF(OR(Table1678[[#This Row],[Total Challenges]]&gt;0,Table1678[[#This Row],[Total Ex-C Clubs]]&gt;0,Table1678[[#This Row],[Total Intra-School Sports]]&gt;0,Table1678[[#This Row],[Total Inter-School Sports]]&gt;0,Table1678[[#This Row],[Community Clubs]]&gt;0),1,0)</f>
        <v>0</v>
      </c>
      <c r="Q15" s="22"/>
      <c r="R15" s="22"/>
      <c r="S15" s="22"/>
      <c r="T15" s="22"/>
      <c r="U15" s="22"/>
      <c r="V15" s="22"/>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21"/>
    </row>
    <row r="16" spans="1:218" x14ac:dyDescent="0.25">
      <c r="A16" s="22"/>
      <c r="B16" s="22"/>
      <c r="C16" s="22"/>
      <c r="D16" s="22"/>
      <c r="E16" s="22"/>
      <c r="F16" s="22"/>
      <c r="G16" s="22"/>
      <c r="H16" s="22"/>
      <c r="I16" s="22"/>
      <c r="J16" s="22"/>
      <c r="K16" s="17">
        <f>SUM(Table1678[[#This Row],[Challenge 1]:[Challenge 50]])</f>
        <v>0</v>
      </c>
      <c r="L16" s="88">
        <f>SUM(Table1678[[#This Row],[Club 1]:[Club 50]])</f>
        <v>0</v>
      </c>
      <c r="M16" s="88">
        <f>SUM(Table1678[[#This Row],[Intra-school sports 1]:[Intra-school sports 50]])</f>
        <v>0</v>
      </c>
      <c r="N16" s="88">
        <f>SUM(Table1678[[#This Row],[Inter School sports 1]:[Inter School sports 50]])</f>
        <v>0</v>
      </c>
      <c r="O16" s="17">
        <f>COUNTIF(Table1678[[#This Row],[Community club (type name of club(s). All clubs will count as ''1'']],"*")</f>
        <v>0</v>
      </c>
      <c r="P16" s="17">
        <f>IF(OR(Table1678[[#This Row],[Total Challenges]]&gt;0,Table1678[[#This Row],[Total Ex-C Clubs]]&gt;0,Table1678[[#This Row],[Total Intra-School Sports]]&gt;0,Table1678[[#This Row],[Total Inter-School Sports]]&gt;0,Table1678[[#This Row],[Community Clubs]]&gt;0),1,0)</f>
        <v>0</v>
      </c>
      <c r="Q16" s="22"/>
      <c r="R16" s="22"/>
      <c r="S16" s="22"/>
      <c r="T16" s="22"/>
      <c r="U16" s="22"/>
      <c r="V16" s="22"/>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21"/>
    </row>
    <row r="17" spans="1:218" x14ac:dyDescent="0.25">
      <c r="A17" s="22"/>
      <c r="B17" s="22"/>
      <c r="C17" s="22"/>
      <c r="D17" s="22"/>
      <c r="E17" s="22"/>
      <c r="F17" s="22"/>
      <c r="G17" s="22"/>
      <c r="H17" s="22"/>
      <c r="I17" s="22"/>
      <c r="J17" s="22"/>
      <c r="K17" s="17">
        <f>SUM(Table1678[[#This Row],[Challenge 1]:[Challenge 50]])</f>
        <v>0</v>
      </c>
      <c r="L17" s="88">
        <f>SUM(Table1678[[#This Row],[Club 1]:[Club 50]])</f>
        <v>0</v>
      </c>
      <c r="M17" s="88">
        <f>SUM(Table1678[[#This Row],[Intra-school sports 1]:[Intra-school sports 50]])</f>
        <v>0</v>
      </c>
      <c r="N17" s="88">
        <f>SUM(Table1678[[#This Row],[Inter School sports 1]:[Inter School sports 50]])</f>
        <v>0</v>
      </c>
      <c r="O17" s="17">
        <f>COUNTIF(Table1678[[#This Row],[Community club (type name of club(s). All clubs will count as ''1'']],"*")</f>
        <v>0</v>
      </c>
      <c r="P17" s="17">
        <f>IF(OR(Table1678[[#This Row],[Total Challenges]]&gt;0,Table1678[[#This Row],[Total Ex-C Clubs]]&gt;0,Table1678[[#This Row],[Total Intra-School Sports]]&gt;0,Table1678[[#This Row],[Total Inter-School Sports]]&gt;0,Table1678[[#This Row],[Community Clubs]]&gt;0),1,0)</f>
        <v>0</v>
      </c>
      <c r="Q17" s="22"/>
      <c r="R17" s="22"/>
      <c r="S17" s="22"/>
      <c r="T17" s="22"/>
      <c r="U17" s="22"/>
      <c r="V17" s="22"/>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21"/>
    </row>
    <row r="18" spans="1:218" x14ac:dyDescent="0.25">
      <c r="A18" s="22"/>
      <c r="B18" s="22"/>
      <c r="C18" s="22"/>
      <c r="D18" s="22"/>
      <c r="E18" s="22"/>
      <c r="F18" s="22"/>
      <c r="G18" s="22"/>
      <c r="H18" s="22"/>
      <c r="I18" s="22"/>
      <c r="J18" s="22"/>
      <c r="K18" s="17">
        <f>SUM(Table1678[[#This Row],[Challenge 1]:[Challenge 50]])</f>
        <v>0</v>
      </c>
      <c r="L18" s="88">
        <f>SUM(Table1678[[#This Row],[Club 1]:[Club 50]])</f>
        <v>0</v>
      </c>
      <c r="M18" s="88">
        <f>SUM(Table1678[[#This Row],[Intra-school sports 1]:[Intra-school sports 50]])</f>
        <v>0</v>
      </c>
      <c r="N18" s="88">
        <f>SUM(Table1678[[#This Row],[Inter School sports 1]:[Inter School sports 50]])</f>
        <v>0</v>
      </c>
      <c r="O18" s="17">
        <f>COUNTIF(Table1678[[#This Row],[Community club (type name of club(s). All clubs will count as ''1'']],"*")</f>
        <v>0</v>
      </c>
      <c r="P18" s="17">
        <f>IF(OR(Table1678[[#This Row],[Total Challenges]]&gt;0,Table1678[[#This Row],[Total Ex-C Clubs]]&gt;0,Table1678[[#This Row],[Total Intra-School Sports]]&gt;0,Table1678[[#This Row],[Total Inter-School Sports]]&gt;0,Table1678[[#This Row],[Community Clubs]]&gt;0),1,0)</f>
        <v>0</v>
      </c>
      <c r="Q18" s="22"/>
      <c r="R18" s="22"/>
      <c r="S18" s="22"/>
      <c r="T18" s="22"/>
      <c r="U18" s="22"/>
      <c r="V18" s="22"/>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21"/>
    </row>
    <row r="19" spans="1:218" x14ac:dyDescent="0.25">
      <c r="A19" s="22"/>
      <c r="B19" s="22"/>
      <c r="C19" s="22"/>
      <c r="D19" s="22"/>
      <c r="E19" s="22"/>
      <c r="F19" s="22"/>
      <c r="G19" s="22"/>
      <c r="H19" s="22"/>
      <c r="I19" s="22"/>
      <c r="J19" s="22"/>
      <c r="K19" s="17">
        <f>SUM(Table1678[[#This Row],[Challenge 1]:[Challenge 50]])</f>
        <v>0</v>
      </c>
      <c r="L19" s="88">
        <f>SUM(Table1678[[#This Row],[Club 1]:[Club 50]])</f>
        <v>0</v>
      </c>
      <c r="M19" s="88">
        <f>SUM(Table1678[[#This Row],[Intra-school sports 1]:[Intra-school sports 50]])</f>
        <v>0</v>
      </c>
      <c r="N19" s="88">
        <f>SUM(Table1678[[#This Row],[Inter School sports 1]:[Inter School sports 50]])</f>
        <v>0</v>
      </c>
      <c r="O19" s="17">
        <f>COUNTIF(Table1678[[#This Row],[Community club (type name of club(s). All clubs will count as ''1'']],"*")</f>
        <v>0</v>
      </c>
      <c r="P19" s="17">
        <f>IF(OR(Table1678[[#This Row],[Total Challenges]]&gt;0,Table1678[[#This Row],[Total Ex-C Clubs]]&gt;0,Table1678[[#This Row],[Total Intra-School Sports]]&gt;0,Table1678[[#This Row],[Total Inter-School Sports]]&gt;0,Table1678[[#This Row],[Community Clubs]]&gt;0),1,0)</f>
        <v>0</v>
      </c>
      <c r="Q19" s="22"/>
      <c r="R19" s="22"/>
      <c r="S19" s="22"/>
      <c r="T19" s="22"/>
      <c r="U19" s="22"/>
      <c r="V19" s="22"/>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21"/>
    </row>
    <row r="20" spans="1:218" x14ac:dyDescent="0.25">
      <c r="A20" s="22"/>
      <c r="B20" s="22"/>
      <c r="C20" s="22"/>
      <c r="D20" s="22"/>
      <c r="E20" s="22"/>
      <c r="F20" s="22"/>
      <c r="G20" s="22"/>
      <c r="H20" s="22"/>
      <c r="I20" s="22"/>
      <c r="J20" s="22"/>
      <c r="K20" s="17">
        <f>SUM(Table1678[[#This Row],[Challenge 1]:[Challenge 50]])</f>
        <v>0</v>
      </c>
      <c r="L20" s="88">
        <f>SUM(Table1678[[#This Row],[Club 1]:[Club 50]])</f>
        <v>0</v>
      </c>
      <c r="M20" s="88">
        <f>SUM(Table1678[[#This Row],[Intra-school sports 1]:[Intra-school sports 50]])</f>
        <v>0</v>
      </c>
      <c r="N20" s="88">
        <f>SUM(Table1678[[#This Row],[Inter School sports 1]:[Inter School sports 50]])</f>
        <v>0</v>
      </c>
      <c r="O20" s="17">
        <f>COUNTIF(Table1678[[#This Row],[Community club (type name of club(s). All clubs will count as ''1'']],"*")</f>
        <v>0</v>
      </c>
      <c r="P20" s="17">
        <f>IF(OR(Table1678[[#This Row],[Total Challenges]]&gt;0,Table1678[[#This Row],[Total Ex-C Clubs]]&gt;0,Table1678[[#This Row],[Total Intra-School Sports]]&gt;0,Table1678[[#This Row],[Total Inter-School Sports]]&gt;0,Table1678[[#This Row],[Community Clubs]]&gt;0),1,0)</f>
        <v>0</v>
      </c>
      <c r="Q20" s="22"/>
      <c r="R20" s="22"/>
      <c r="S20" s="22"/>
      <c r="T20" s="22"/>
      <c r="U20" s="22"/>
      <c r="V20" s="22"/>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21"/>
    </row>
    <row r="21" spans="1:218" x14ac:dyDescent="0.25">
      <c r="A21" s="22"/>
      <c r="B21" s="22"/>
      <c r="C21" s="22"/>
      <c r="D21" s="22"/>
      <c r="E21" s="22"/>
      <c r="F21" s="22"/>
      <c r="G21" s="22"/>
      <c r="H21" s="22"/>
      <c r="I21" s="22"/>
      <c r="J21" s="22"/>
      <c r="K21" s="17">
        <f>SUM(Table1678[[#This Row],[Challenge 1]:[Challenge 50]])</f>
        <v>0</v>
      </c>
      <c r="L21" s="88">
        <f>SUM(Table1678[[#This Row],[Club 1]:[Club 50]])</f>
        <v>0</v>
      </c>
      <c r="M21" s="88">
        <f>SUM(Table1678[[#This Row],[Intra-school sports 1]:[Intra-school sports 50]])</f>
        <v>0</v>
      </c>
      <c r="N21" s="88">
        <f>SUM(Table1678[[#This Row],[Inter School sports 1]:[Inter School sports 50]])</f>
        <v>0</v>
      </c>
      <c r="O21" s="17">
        <f>COUNTIF(Table1678[[#This Row],[Community club (type name of club(s). All clubs will count as ''1'']],"*")</f>
        <v>0</v>
      </c>
      <c r="P21" s="17">
        <f>IF(OR(Table1678[[#This Row],[Total Challenges]]&gt;0,Table1678[[#This Row],[Total Ex-C Clubs]]&gt;0,Table1678[[#This Row],[Total Intra-School Sports]]&gt;0,Table1678[[#This Row],[Total Inter-School Sports]]&gt;0,Table1678[[#This Row],[Community Clubs]]&gt;0),1,0)</f>
        <v>0</v>
      </c>
      <c r="Q21" s="22"/>
      <c r="R21" s="22"/>
      <c r="S21" s="22"/>
      <c r="T21" s="22"/>
      <c r="U21" s="22"/>
      <c r="V21" s="22"/>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21"/>
    </row>
    <row r="22" spans="1:218" x14ac:dyDescent="0.25">
      <c r="A22" s="22"/>
      <c r="B22" s="22"/>
      <c r="C22" s="22"/>
      <c r="D22" s="22"/>
      <c r="E22" s="22"/>
      <c r="F22" s="22"/>
      <c r="G22" s="22"/>
      <c r="H22" s="22"/>
      <c r="I22" s="22"/>
      <c r="J22" s="22"/>
      <c r="K22" s="17">
        <f>SUM(Table1678[[#This Row],[Challenge 1]:[Challenge 50]])</f>
        <v>0</v>
      </c>
      <c r="L22" s="88">
        <f>SUM(Table1678[[#This Row],[Club 1]:[Club 50]])</f>
        <v>0</v>
      </c>
      <c r="M22" s="88">
        <f>SUM(Table1678[[#This Row],[Intra-school sports 1]:[Intra-school sports 50]])</f>
        <v>0</v>
      </c>
      <c r="N22" s="88">
        <f>SUM(Table1678[[#This Row],[Inter School sports 1]:[Inter School sports 50]])</f>
        <v>0</v>
      </c>
      <c r="O22" s="17">
        <f>COUNTIF(Table1678[[#This Row],[Community club (type name of club(s). All clubs will count as ''1'']],"*")</f>
        <v>0</v>
      </c>
      <c r="P22" s="17">
        <f>IF(OR(Table1678[[#This Row],[Total Challenges]]&gt;0,Table1678[[#This Row],[Total Ex-C Clubs]]&gt;0,Table1678[[#This Row],[Total Intra-School Sports]]&gt;0,Table1678[[#This Row],[Total Inter-School Sports]]&gt;0,Table1678[[#This Row],[Community Clubs]]&gt;0),1,0)</f>
        <v>0</v>
      </c>
      <c r="Q22" s="22"/>
      <c r="R22" s="22"/>
      <c r="S22" s="22"/>
      <c r="T22" s="22"/>
      <c r="U22" s="22"/>
      <c r="V22" s="22"/>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21"/>
    </row>
    <row r="23" spans="1:218" x14ac:dyDescent="0.25">
      <c r="A23" s="22"/>
      <c r="B23" s="22"/>
      <c r="C23" s="22"/>
      <c r="D23" s="22"/>
      <c r="E23" s="22"/>
      <c r="F23" s="22"/>
      <c r="G23" s="22"/>
      <c r="H23" s="22"/>
      <c r="I23" s="22"/>
      <c r="J23" s="22"/>
      <c r="K23" s="17">
        <f>SUM(Table1678[[#This Row],[Challenge 1]:[Challenge 50]])</f>
        <v>0</v>
      </c>
      <c r="L23" s="88">
        <f>SUM(Table1678[[#This Row],[Club 1]:[Club 50]])</f>
        <v>0</v>
      </c>
      <c r="M23" s="88">
        <f>SUM(Table1678[[#This Row],[Intra-school sports 1]:[Intra-school sports 50]])</f>
        <v>0</v>
      </c>
      <c r="N23" s="88">
        <f>SUM(Table1678[[#This Row],[Inter School sports 1]:[Inter School sports 50]])</f>
        <v>0</v>
      </c>
      <c r="O23" s="17">
        <f>COUNTIF(Table1678[[#This Row],[Community club (type name of club(s). All clubs will count as ''1'']],"*")</f>
        <v>0</v>
      </c>
      <c r="P23" s="17">
        <f>IF(OR(Table1678[[#This Row],[Total Challenges]]&gt;0,Table1678[[#This Row],[Total Ex-C Clubs]]&gt;0,Table1678[[#This Row],[Total Intra-School Sports]]&gt;0,Table1678[[#This Row],[Total Inter-School Sports]]&gt;0,Table1678[[#This Row],[Community Clubs]]&gt;0),1,0)</f>
        <v>0</v>
      </c>
      <c r="Q23" s="22"/>
      <c r="R23" s="22"/>
      <c r="S23" s="22"/>
      <c r="T23" s="22"/>
      <c r="U23" s="22"/>
      <c r="V23" s="22"/>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21"/>
    </row>
    <row r="24" spans="1:218" x14ac:dyDescent="0.25">
      <c r="A24" s="22"/>
      <c r="B24" s="22"/>
      <c r="C24" s="22"/>
      <c r="D24" s="22"/>
      <c r="E24" s="22"/>
      <c r="F24" s="22"/>
      <c r="G24" s="22"/>
      <c r="H24" s="22"/>
      <c r="I24" s="22"/>
      <c r="J24" s="22"/>
      <c r="K24" s="17">
        <f>SUM(Table1678[[#This Row],[Challenge 1]:[Challenge 50]])</f>
        <v>0</v>
      </c>
      <c r="L24" s="88">
        <f>SUM(Table1678[[#This Row],[Club 1]:[Club 50]])</f>
        <v>0</v>
      </c>
      <c r="M24" s="88">
        <f>SUM(Table1678[[#This Row],[Intra-school sports 1]:[Intra-school sports 50]])</f>
        <v>0</v>
      </c>
      <c r="N24" s="88">
        <f>SUM(Table1678[[#This Row],[Inter School sports 1]:[Inter School sports 50]])</f>
        <v>0</v>
      </c>
      <c r="O24" s="17">
        <f>COUNTIF(Table1678[[#This Row],[Community club (type name of club(s). All clubs will count as ''1'']],"*")</f>
        <v>0</v>
      </c>
      <c r="P24" s="17">
        <f>IF(OR(Table1678[[#This Row],[Total Challenges]]&gt;0,Table1678[[#This Row],[Total Ex-C Clubs]]&gt;0,Table1678[[#This Row],[Total Intra-School Sports]]&gt;0,Table1678[[#This Row],[Total Inter-School Sports]]&gt;0,Table1678[[#This Row],[Community Clubs]]&gt;0),1,0)</f>
        <v>0</v>
      </c>
      <c r="Q24" s="22"/>
      <c r="R24" s="22"/>
      <c r="S24" s="22"/>
      <c r="T24" s="22"/>
      <c r="U24" s="22"/>
      <c r="V24" s="22"/>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21"/>
    </row>
    <row r="25" spans="1:218" x14ac:dyDescent="0.25">
      <c r="A25" s="22"/>
      <c r="B25" s="22"/>
      <c r="C25" s="22"/>
      <c r="D25" s="22"/>
      <c r="E25" s="22"/>
      <c r="F25" s="22"/>
      <c r="G25" s="22"/>
      <c r="H25" s="22"/>
      <c r="I25" s="22"/>
      <c r="J25" s="22"/>
      <c r="K25" s="17">
        <f>SUM(Table1678[[#This Row],[Challenge 1]:[Challenge 50]])</f>
        <v>0</v>
      </c>
      <c r="L25" s="88">
        <f>SUM(Table1678[[#This Row],[Club 1]:[Club 50]])</f>
        <v>0</v>
      </c>
      <c r="M25" s="88">
        <f>SUM(Table1678[[#This Row],[Intra-school sports 1]:[Intra-school sports 50]])</f>
        <v>0</v>
      </c>
      <c r="N25" s="88">
        <f>SUM(Table1678[[#This Row],[Inter School sports 1]:[Inter School sports 50]])</f>
        <v>0</v>
      </c>
      <c r="O25" s="17">
        <f>COUNTIF(Table1678[[#This Row],[Community club (type name of club(s). All clubs will count as ''1'']],"*")</f>
        <v>0</v>
      </c>
      <c r="P25" s="17">
        <f>IF(OR(Table1678[[#This Row],[Total Challenges]]&gt;0,Table1678[[#This Row],[Total Ex-C Clubs]]&gt;0,Table1678[[#This Row],[Total Intra-School Sports]]&gt;0,Table1678[[#This Row],[Total Inter-School Sports]]&gt;0,Table1678[[#This Row],[Community Clubs]]&gt;0),1,0)</f>
        <v>0</v>
      </c>
      <c r="Q25" s="22"/>
      <c r="R25" s="22"/>
      <c r="S25" s="22"/>
      <c r="T25" s="22"/>
      <c r="U25" s="22"/>
      <c r="V25" s="22"/>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21"/>
    </row>
    <row r="26" spans="1:218" x14ac:dyDescent="0.25">
      <c r="A26" s="22"/>
      <c r="B26" s="22"/>
      <c r="C26" s="22"/>
      <c r="D26" s="22"/>
      <c r="E26" s="22"/>
      <c r="F26" s="22"/>
      <c r="G26" s="22"/>
      <c r="H26" s="22"/>
      <c r="I26" s="22"/>
      <c r="J26" s="22"/>
      <c r="K26" s="17">
        <f>SUM(Table1678[[#This Row],[Challenge 1]:[Challenge 50]])</f>
        <v>0</v>
      </c>
      <c r="L26" s="88">
        <f>SUM(Table1678[[#This Row],[Club 1]:[Club 50]])</f>
        <v>0</v>
      </c>
      <c r="M26" s="88">
        <f>SUM(Table1678[[#This Row],[Intra-school sports 1]:[Intra-school sports 50]])</f>
        <v>0</v>
      </c>
      <c r="N26" s="88">
        <f>SUM(Table1678[[#This Row],[Inter School sports 1]:[Inter School sports 50]])</f>
        <v>0</v>
      </c>
      <c r="O26" s="17">
        <f>COUNTIF(Table1678[[#This Row],[Community club (type name of club(s). All clubs will count as ''1'']],"*")</f>
        <v>0</v>
      </c>
      <c r="P26" s="17">
        <f>IF(OR(Table1678[[#This Row],[Total Challenges]]&gt;0,Table1678[[#This Row],[Total Ex-C Clubs]]&gt;0,Table1678[[#This Row],[Total Intra-School Sports]]&gt;0,Table1678[[#This Row],[Total Inter-School Sports]]&gt;0,Table1678[[#This Row],[Community Clubs]]&gt;0),1,0)</f>
        <v>0</v>
      </c>
      <c r="Q26" s="22"/>
      <c r="R26" s="22"/>
      <c r="S26" s="22"/>
      <c r="T26" s="22"/>
      <c r="U26" s="22"/>
      <c r="V26" s="22"/>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21"/>
    </row>
    <row r="27" spans="1:218" x14ac:dyDescent="0.25">
      <c r="A27" s="22"/>
      <c r="B27" s="22"/>
      <c r="C27" s="22"/>
      <c r="D27" s="22"/>
      <c r="E27" s="22"/>
      <c r="F27" s="22"/>
      <c r="G27" s="22"/>
      <c r="H27" s="22"/>
      <c r="I27" s="22"/>
      <c r="J27" s="22"/>
      <c r="K27" s="17">
        <f>SUM(Table1678[[#This Row],[Challenge 1]:[Challenge 50]])</f>
        <v>0</v>
      </c>
      <c r="L27" s="88">
        <f>SUM(Table1678[[#This Row],[Club 1]:[Club 50]])</f>
        <v>0</v>
      </c>
      <c r="M27" s="88">
        <f>SUM(Table1678[[#This Row],[Intra-school sports 1]:[Intra-school sports 50]])</f>
        <v>0</v>
      </c>
      <c r="N27" s="88">
        <f>SUM(Table1678[[#This Row],[Inter School sports 1]:[Inter School sports 50]])</f>
        <v>0</v>
      </c>
      <c r="O27" s="17">
        <f>COUNTIF(Table1678[[#This Row],[Community club (type name of club(s). All clubs will count as ''1'']],"*")</f>
        <v>0</v>
      </c>
      <c r="P27" s="17">
        <f>IF(OR(Table1678[[#This Row],[Total Challenges]]&gt;0,Table1678[[#This Row],[Total Ex-C Clubs]]&gt;0,Table1678[[#This Row],[Total Intra-School Sports]]&gt;0,Table1678[[#This Row],[Total Inter-School Sports]]&gt;0,Table1678[[#This Row],[Community Clubs]]&gt;0),1,0)</f>
        <v>0</v>
      </c>
      <c r="Q27" s="22"/>
      <c r="R27" s="22"/>
      <c r="S27" s="22"/>
      <c r="T27" s="22"/>
      <c r="U27" s="22"/>
      <c r="V27" s="22"/>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21"/>
    </row>
    <row r="28" spans="1:218" x14ac:dyDescent="0.25">
      <c r="A28" s="22"/>
      <c r="B28" s="22"/>
      <c r="C28" s="22"/>
      <c r="D28" s="22"/>
      <c r="E28" s="22"/>
      <c r="F28" s="22"/>
      <c r="G28" s="22"/>
      <c r="H28" s="22"/>
      <c r="I28" s="22"/>
      <c r="J28" s="22"/>
      <c r="K28" s="17">
        <f>SUM(Table1678[[#This Row],[Challenge 1]:[Challenge 50]])</f>
        <v>0</v>
      </c>
      <c r="L28" s="88">
        <f>SUM(Table1678[[#This Row],[Club 1]:[Club 50]])</f>
        <v>0</v>
      </c>
      <c r="M28" s="88">
        <f>SUM(Table1678[[#This Row],[Intra-school sports 1]:[Intra-school sports 50]])</f>
        <v>0</v>
      </c>
      <c r="N28" s="88">
        <f>SUM(Table1678[[#This Row],[Inter School sports 1]:[Inter School sports 50]])</f>
        <v>0</v>
      </c>
      <c r="O28" s="17">
        <f>COUNTIF(Table1678[[#This Row],[Community club (type name of club(s). All clubs will count as ''1'']],"*")</f>
        <v>0</v>
      </c>
      <c r="P28" s="17">
        <f>IF(OR(Table1678[[#This Row],[Total Challenges]]&gt;0,Table1678[[#This Row],[Total Ex-C Clubs]]&gt;0,Table1678[[#This Row],[Total Intra-School Sports]]&gt;0,Table1678[[#This Row],[Total Inter-School Sports]]&gt;0,Table1678[[#This Row],[Community Clubs]]&gt;0),1,0)</f>
        <v>0</v>
      </c>
      <c r="Q28" s="22"/>
      <c r="R28" s="22"/>
      <c r="S28" s="22"/>
      <c r="T28" s="22"/>
      <c r="U28" s="22"/>
      <c r="V28" s="22"/>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21"/>
    </row>
    <row r="29" spans="1:218" x14ac:dyDescent="0.25">
      <c r="A29" s="22"/>
      <c r="B29" s="22"/>
      <c r="C29" s="22"/>
      <c r="D29" s="22"/>
      <c r="E29" s="22"/>
      <c r="F29" s="22"/>
      <c r="G29" s="22"/>
      <c r="H29" s="22"/>
      <c r="I29" s="22"/>
      <c r="J29" s="22"/>
      <c r="K29" s="17">
        <f>SUM(Table1678[[#This Row],[Challenge 1]:[Challenge 50]])</f>
        <v>0</v>
      </c>
      <c r="L29" s="88">
        <f>SUM(Table1678[[#This Row],[Club 1]:[Club 50]])</f>
        <v>0</v>
      </c>
      <c r="M29" s="88">
        <f>SUM(Table1678[[#This Row],[Intra-school sports 1]:[Intra-school sports 50]])</f>
        <v>0</v>
      </c>
      <c r="N29" s="88">
        <f>SUM(Table1678[[#This Row],[Inter School sports 1]:[Inter School sports 50]])</f>
        <v>0</v>
      </c>
      <c r="O29" s="17">
        <f>COUNTIF(Table1678[[#This Row],[Community club (type name of club(s). All clubs will count as ''1'']],"*")</f>
        <v>0</v>
      </c>
      <c r="P29" s="17">
        <f>IF(OR(Table1678[[#This Row],[Total Challenges]]&gt;0,Table1678[[#This Row],[Total Ex-C Clubs]]&gt;0,Table1678[[#This Row],[Total Intra-School Sports]]&gt;0,Table1678[[#This Row],[Total Inter-School Sports]]&gt;0,Table1678[[#This Row],[Community Clubs]]&gt;0),1,0)</f>
        <v>0</v>
      </c>
      <c r="Q29" s="22"/>
      <c r="R29" s="22"/>
      <c r="S29" s="22"/>
      <c r="T29" s="22"/>
      <c r="U29" s="22"/>
      <c r="V29" s="22"/>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21"/>
    </row>
    <row r="30" spans="1:218" x14ac:dyDescent="0.25">
      <c r="A30" s="22"/>
      <c r="B30" s="22"/>
      <c r="C30" s="22"/>
      <c r="D30" s="22"/>
      <c r="E30" s="22"/>
      <c r="F30" s="22"/>
      <c r="G30" s="22"/>
      <c r="H30" s="22"/>
      <c r="I30" s="22"/>
      <c r="J30" s="22"/>
      <c r="K30" s="17">
        <f>SUM(Table1678[[#This Row],[Challenge 1]:[Challenge 50]])</f>
        <v>0</v>
      </c>
      <c r="L30" s="88">
        <f>SUM(Table1678[[#This Row],[Club 1]:[Club 50]])</f>
        <v>0</v>
      </c>
      <c r="M30" s="88">
        <f>SUM(Table1678[[#This Row],[Intra-school sports 1]:[Intra-school sports 50]])</f>
        <v>0</v>
      </c>
      <c r="N30" s="88">
        <f>SUM(Table1678[[#This Row],[Inter School sports 1]:[Inter School sports 50]])</f>
        <v>0</v>
      </c>
      <c r="O30" s="17">
        <f>COUNTIF(Table1678[[#This Row],[Community club (type name of club(s). All clubs will count as ''1'']],"*")</f>
        <v>0</v>
      </c>
      <c r="P30" s="17">
        <f>IF(OR(Table1678[[#This Row],[Total Challenges]]&gt;0,Table1678[[#This Row],[Total Ex-C Clubs]]&gt;0,Table1678[[#This Row],[Total Intra-School Sports]]&gt;0,Table1678[[#This Row],[Total Inter-School Sports]]&gt;0,Table1678[[#This Row],[Community Clubs]]&gt;0),1,0)</f>
        <v>0</v>
      </c>
      <c r="Q30" s="22"/>
      <c r="R30" s="22"/>
      <c r="S30" s="22"/>
      <c r="T30" s="22"/>
      <c r="U30" s="22"/>
      <c r="V30" s="22"/>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21"/>
    </row>
    <row r="31" spans="1:218" x14ac:dyDescent="0.25">
      <c r="A31" s="22"/>
      <c r="B31" s="22"/>
      <c r="C31" s="22"/>
      <c r="D31" s="22"/>
      <c r="E31" s="22"/>
      <c r="F31" s="22"/>
      <c r="G31" s="22"/>
      <c r="H31" s="22"/>
      <c r="I31" s="22"/>
      <c r="J31" s="22"/>
      <c r="K31" s="17">
        <f>SUM(Table1678[[#This Row],[Challenge 1]:[Challenge 50]])</f>
        <v>0</v>
      </c>
      <c r="L31" s="88">
        <f>SUM(Table1678[[#This Row],[Club 1]:[Club 50]])</f>
        <v>0</v>
      </c>
      <c r="M31" s="88">
        <f>SUM(Table1678[[#This Row],[Intra-school sports 1]:[Intra-school sports 50]])</f>
        <v>0</v>
      </c>
      <c r="N31" s="88">
        <f>SUM(Table1678[[#This Row],[Inter School sports 1]:[Inter School sports 50]])</f>
        <v>0</v>
      </c>
      <c r="O31" s="17">
        <f>COUNTIF(Table1678[[#This Row],[Community club (type name of club(s). All clubs will count as ''1'']],"*")</f>
        <v>0</v>
      </c>
      <c r="P31" s="17">
        <f>IF(OR(Table1678[[#This Row],[Total Challenges]]&gt;0,Table1678[[#This Row],[Total Ex-C Clubs]]&gt;0,Table1678[[#This Row],[Total Intra-School Sports]]&gt;0,Table1678[[#This Row],[Total Inter-School Sports]]&gt;0,Table1678[[#This Row],[Community Clubs]]&gt;0),1,0)</f>
        <v>0</v>
      </c>
      <c r="Q31" s="22"/>
      <c r="R31" s="22"/>
      <c r="S31" s="22"/>
      <c r="T31" s="22"/>
      <c r="U31" s="22"/>
      <c r="V31" s="22"/>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21"/>
    </row>
    <row r="32" spans="1:218" x14ac:dyDescent="0.25">
      <c r="A32" s="22"/>
      <c r="B32" s="22"/>
      <c r="C32" s="22"/>
      <c r="D32" s="22"/>
      <c r="E32" s="22"/>
      <c r="F32" s="22"/>
      <c r="G32" s="22"/>
      <c r="H32" s="22"/>
      <c r="I32" s="22"/>
      <c r="J32" s="22"/>
      <c r="K32" s="17">
        <f>SUM(Table1678[[#This Row],[Challenge 1]:[Challenge 50]])</f>
        <v>0</v>
      </c>
      <c r="L32" s="88">
        <f>SUM(Table1678[[#This Row],[Club 1]:[Club 50]])</f>
        <v>0</v>
      </c>
      <c r="M32" s="88">
        <f>SUM(Table1678[[#This Row],[Intra-school sports 1]:[Intra-school sports 50]])</f>
        <v>0</v>
      </c>
      <c r="N32" s="88">
        <f>SUM(Table1678[[#This Row],[Inter School sports 1]:[Inter School sports 50]])</f>
        <v>0</v>
      </c>
      <c r="O32" s="17">
        <f>COUNTIF(Table1678[[#This Row],[Community club (type name of club(s). All clubs will count as ''1'']],"*")</f>
        <v>0</v>
      </c>
      <c r="P32" s="17">
        <f>IF(OR(Table1678[[#This Row],[Total Challenges]]&gt;0,Table1678[[#This Row],[Total Ex-C Clubs]]&gt;0,Table1678[[#This Row],[Total Intra-School Sports]]&gt;0,Table1678[[#This Row],[Total Inter-School Sports]]&gt;0,Table1678[[#This Row],[Community Clubs]]&gt;0),1,0)</f>
        <v>0</v>
      </c>
      <c r="Q32" s="22"/>
      <c r="R32" s="22"/>
      <c r="S32" s="22"/>
      <c r="T32" s="22"/>
      <c r="U32" s="22"/>
      <c r="V32" s="22"/>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21"/>
    </row>
    <row r="33" spans="1:218" x14ac:dyDescent="0.25">
      <c r="A33" s="22"/>
      <c r="B33" s="22"/>
      <c r="C33" s="22"/>
      <c r="D33" s="22"/>
      <c r="E33" s="22"/>
      <c r="F33" s="22"/>
      <c r="G33" s="22"/>
      <c r="H33" s="22"/>
      <c r="I33" s="22"/>
      <c r="J33" s="22"/>
      <c r="K33" s="17">
        <f>SUM(Table1678[[#This Row],[Challenge 1]:[Challenge 50]])</f>
        <v>0</v>
      </c>
      <c r="L33" s="88">
        <f>SUM(Table1678[[#This Row],[Club 1]:[Club 50]])</f>
        <v>0</v>
      </c>
      <c r="M33" s="88">
        <f>SUM(Table1678[[#This Row],[Intra-school sports 1]:[Intra-school sports 50]])</f>
        <v>0</v>
      </c>
      <c r="N33" s="88">
        <f>SUM(Table1678[[#This Row],[Inter School sports 1]:[Inter School sports 50]])</f>
        <v>0</v>
      </c>
      <c r="O33" s="17">
        <f>COUNTIF(Table1678[[#This Row],[Community club (type name of club(s). All clubs will count as ''1'']],"*")</f>
        <v>0</v>
      </c>
      <c r="P33" s="17">
        <f>IF(OR(Table1678[[#This Row],[Total Challenges]]&gt;0,Table1678[[#This Row],[Total Ex-C Clubs]]&gt;0,Table1678[[#This Row],[Total Intra-School Sports]]&gt;0,Table1678[[#This Row],[Total Inter-School Sports]]&gt;0,Table1678[[#This Row],[Community Clubs]]&gt;0),1,0)</f>
        <v>0</v>
      </c>
      <c r="Q33" s="22"/>
      <c r="R33" s="22"/>
      <c r="S33" s="22"/>
      <c r="T33" s="22"/>
      <c r="U33" s="22"/>
      <c r="V33" s="22"/>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21"/>
    </row>
    <row r="34" spans="1:218" x14ac:dyDescent="0.25">
      <c r="A34" s="22"/>
      <c r="B34" s="22"/>
      <c r="C34" s="22"/>
      <c r="D34" s="22"/>
      <c r="E34" s="22"/>
      <c r="F34" s="22"/>
      <c r="G34" s="22"/>
      <c r="H34" s="22"/>
      <c r="I34" s="22"/>
      <c r="J34" s="22"/>
      <c r="K34" s="17">
        <f>SUM(Table1678[[#This Row],[Challenge 1]:[Challenge 50]])</f>
        <v>0</v>
      </c>
      <c r="L34" s="88">
        <f>SUM(Table1678[[#This Row],[Club 1]:[Club 50]])</f>
        <v>0</v>
      </c>
      <c r="M34" s="88">
        <f>SUM(Table1678[[#This Row],[Intra-school sports 1]:[Intra-school sports 50]])</f>
        <v>0</v>
      </c>
      <c r="N34" s="88">
        <f>SUM(Table1678[[#This Row],[Inter School sports 1]:[Inter School sports 50]])</f>
        <v>0</v>
      </c>
      <c r="O34" s="17">
        <f>COUNTIF(Table1678[[#This Row],[Community club (type name of club(s). All clubs will count as ''1'']],"*")</f>
        <v>0</v>
      </c>
      <c r="P34" s="17">
        <f>IF(OR(Table1678[[#This Row],[Total Challenges]]&gt;0,Table1678[[#This Row],[Total Ex-C Clubs]]&gt;0,Table1678[[#This Row],[Total Intra-School Sports]]&gt;0,Table1678[[#This Row],[Total Inter-School Sports]]&gt;0,Table1678[[#This Row],[Community Clubs]]&gt;0),1,0)</f>
        <v>0</v>
      </c>
      <c r="Q34" s="22"/>
      <c r="R34" s="22"/>
      <c r="S34" s="22"/>
      <c r="T34" s="22"/>
      <c r="U34" s="22"/>
      <c r="V34" s="22"/>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21"/>
    </row>
    <row r="35" spans="1:218" x14ac:dyDescent="0.25">
      <c r="A35" s="22"/>
      <c r="B35" s="22"/>
      <c r="C35" s="22"/>
      <c r="D35" s="22"/>
      <c r="E35" s="22"/>
      <c r="F35" s="22"/>
      <c r="G35" s="22"/>
      <c r="H35" s="22"/>
      <c r="I35" s="22"/>
      <c r="J35" s="22"/>
      <c r="K35" s="17">
        <f>SUM(Table1678[[#This Row],[Challenge 1]:[Challenge 50]])</f>
        <v>0</v>
      </c>
      <c r="L35" s="88">
        <f>SUM(Table1678[[#This Row],[Club 1]:[Club 50]])</f>
        <v>0</v>
      </c>
      <c r="M35" s="88">
        <f>SUM(Table1678[[#This Row],[Intra-school sports 1]:[Intra-school sports 50]])</f>
        <v>0</v>
      </c>
      <c r="N35" s="88">
        <f>SUM(Table1678[[#This Row],[Inter School sports 1]:[Inter School sports 50]])</f>
        <v>0</v>
      </c>
      <c r="O35" s="17">
        <f>COUNTIF(Table1678[[#This Row],[Community club (type name of club(s). All clubs will count as ''1'']],"*")</f>
        <v>0</v>
      </c>
      <c r="P35" s="17">
        <f>IF(OR(Table1678[[#This Row],[Total Challenges]]&gt;0,Table1678[[#This Row],[Total Ex-C Clubs]]&gt;0,Table1678[[#This Row],[Total Intra-School Sports]]&gt;0,Table1678[[#This Row],[Total Inter-School Sports]]&gt;0,Table1678[[#This Row],[Community Clubs]]&gt;0),1,0)</f>
        <v>0</v>
      </c>
      <c r="Q35" s="22"/>
      <c r="R35" s="22"/>
      <c r="S35" s="22"/>
      <c r="T35" s="22"/>
      <c r="U35" s="22"/>
      <c r="V35" s="22"/>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21"/>
    </row>
    <row r="36" spans="1:218" x14ac:dyDescent="0.25">
      <c r="A36" s="22"/>
      <c r="B36" s="22"/>
      <c r="C36" s="22"/>
      <c r="D36" s="22"/>
      <c r="E36" s="22"/>
      <c r="F36" s="22"/>
      <c r="G36" s="22"/>
      <c r="H36" s="22"/>
      <c r="I36" s="22"/>
      <c r="J36" s="22"/>
      <c r="K36" s="17">
        <f>SUM(Table1678[[#This Row],[Challenge 1]:[Challenge 50]])</f>
        <v>0</v>
      </c>
      <c r="L36" s="88">
        <f>SUM(Table1678[[#This Row],[Club 1]:[Club 50]])</f>
        <v>0</v>
      </c>
      <c r="M36" s="88">
        <f>SUM(Table1678[[#This Row],[Intra-school sports 1]:[Intra-school sports 50]])</f>
        <v>0</v>
      </c>
      <c r="N36" s="88">
        <f>SUM(Table1678[[#This Row],[Inter School sports 1]:[Inter School sports 50]])</f>
        <v>0</v>
      </c>
      <c r="O36" s="17">
        <f>COUNTIF(Table1678[[#This Row],[Community club (type name of club(s). All clubs will count as ''1'']],"*")</f>
        <v>0</v>
      </c>
      <c r="P36" s="17">
        <f>IF(OR(Table1678[[#This Row],[Total Challenges]]&gt;0,Table1678[[#This Row],[Total Ex-C Clubs]]&gt;0,Table1678[[#This Row],[Total Intra-School Sports]]&gt;0,Table1678[[#This Row],[Total Inter-School Sports]]&gt;0,Table1678[[#This Row],[Community Clubs]]&gt;0),1,0)</f>
        <v>0</v>
      </c>
      <c r="Q36" s="22"/>
      <c r="R36" s="22"/>
      <c r="S36" s="22"/>
      <c r="T36" s="22"/>
      <c r="U36" s="22"/>
      <c r="V36" s="22"/>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21"/>
    </row>
    <row r="37" spans="1:218" x14ac:dyDescent="0.25">
      <c r="A37" s="22"/>
      <c r="B37" s="22"/>
      <c r="C37" s="22"/>
      <c r="D37" s="22"/>
      <c r="E37" s="22"/>
      <c r="F37" s="22"/>
      <c r="G37" s="22"/>
      <c r="H37" s="22"/>
      <c r="I37" s="22"/>
      <c r="J37" s="22"/>
      <c r="K37" s="17">
        <f>SUM(Table1678[[#This Row],[Challenge 1]:[Challenge 50]])</f>
        <v>0</v>
      </c>
      <c r="L37" s="88">
        <f>SUM(Table1678[[#This Row],[Club 1]:[Club 50]])</f>
        <v>0</v>
      </c>
      <c r="M37" s="88">
        <f>SUM(Table1678[[#This Row],[Intra-school sports 1]:[Intra-school sports 50]])</f>
        <v>0</v>
      </c>
      <c r="N37" s="88">
        <f>SUM(Table1678[[#This Row],[Inter School sports 1]:[Inter School sports 50]])</f>
        <v>0</v>
      </c>
      <c r="O37" s="17">
        <f>COUNTIF(Table1678[[#This Row],[Community club (type name of club(s). All clubs will count as ''1'']],"*")</f>
        <v>0</v>
      </c>
      <c r="P37" s="17">
        <f>IF(OR(Table1678[[#This Row],[Total Challenges]]&gt;0,Table1678[[#This Row],[Total Ex-C Clubs]]&gt;0,Table1678[[#This Row],[Total Intra-School Sports]]&gt;0,Table1678[[#This Row],[Total Inter-School Sports]]&gt;0,Table1678[[#This Row],[Community Clubs]]&gt;0),1,0)</f>
        <v>0</v>
      </c>
      <c r="Q37" s="22"/>
      <c r="R37" s="22"/>
      <c r="S37" s="22"/>
      <c r="T37" s="22"/>
      <c r="U37" s="22"/>
      <c r="V37" s="22"/>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21"/>
    </row>
    <row r="38" spans="1:218" x14ac:dyDescent="0.25">
      <c r="A38" s="22"/>
      <c r="B38" s="22"/>
      <c r="C38" s="22"/>
      <c r="D38" s="22"/>
      <c r="E38" s="22"/>
      <c r="F38" s="22"/>
      <c r="G38" s="22"/>
      <c r="H38" s="22"/>
      <c r="I38" s="22"/>
      <c r="J38" s="22"/>
      <c r="K38" s="17">
        <f>SUM(Table1678[[#This Row],[Challenge 1]:[Challenge 50]])</f>
        <v>0</v>
      </c>
      <c r="L38" s="88">
        <f>SUM(Table1678[[#This Row],[Club 1]:[Club 50]])</f>
        <v>0</v>
      </c>
      <c r="M38" s="88">
        <f>SUM(Table1678[[#This Row],[Intra-school sports 1]:[Intra-school sports 50]])</f>
        <v>0</v>
      </c>
      <c r="N38" s="88">
        <f>SUM(Table1678[[#This Row],[Inter School sports 1]:[Inter School sports 50]])</f>
        <v>0</v>
      </c>
      <c r="O38" s="17">
        <f>COUNTIF(Table1678[[#This Row],[Community club (type name of club(s). All clubs will count as ''1'']],"*")</f>
        <v>0</v>
      </c>
      <c r="P38" s="17">
        <f>IF(OR(Table1678[[#This Row],[Total Challenges]]&gt;0,Table1678[[#This Row],[Total Ex-C Clubs]]&gt;0,Table1678[[#This Row],[Total Intra-School Sports]]&gt;0,Table1678[[#This Row],[Total Inter-School Sports]]&gt;0,Table1678[[#This Row],[Community Clubs]]&gt;0),1,0)</f>
        <v>0</v>
      </c>
      <c r="Q38" s="22"/>
      <c r="R38" s="22"/>
      <c r="S38" s="22"/>
      <c r="T38" s="22"/>
      <c r="U38" s="22"/>
      <c r="V38" s="22"/>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21"/>
    </row>
    <row r="39" spans="1:218" x14ac:dyDescent="0.25">
      <c r="A39" s="22"/>
      <c r="B39" s="22"/>
      <c r="C39" s="22"/>
      <c r="D39" s="22"/>
      <c r="E39" s="22"/>
      <c r="F39" s="22"/>
      <c r="G39" s="22"/>
      <c r="H39" s="22"/>
      <c r="I39" s="22"/>
      <c r="J39" s="22"/>
      <c r="K39" s="17">
        <f>SUM(Table1678[[#This Row],[Challenge 1]:[Challenge 50]])</f>
        <v>0</v>
      </c>
      <c r="L39" s="88">
        <f>SUM(Table1678[[#This Row],[Club 1]:[Club 50]])</f>
        <v>0</v>
      </c>
      <c r="M39" s="88">
        <f>SUM(Table1678[[#This Row],[Intra-school sports 1]:[Intra-school sports 50]])</f>
        <v>0</v>
      </c>
      <c r="N39" s="88">
        <f>SUM(Table1678[[#This Row],[Inter School sports 1]:[Inter School sports 50]])</f>
        <v>0</v>
      </c>
      <c r="O39" s="17">
        <f>COUNTIF(Table1678[[#This Row],[Community club (type name of club(s). All clubs will count as ''1'']],"*")</f>
        <v>0</v>
      </c>
      <c r="P39" s="17">
        <f>IF(OR(Table1678[[#This Row],[Total Challenges]]&gt;0,Table1678[[#This Row],[Total Ex-C Clubs]]&gt;0,Table1678[[#This Row],[Total Intra-School Sports]]&gt;0,Table1678[[#This Row],[Total Inter-School Sports]]&gt;0,Table1678[[#This Row],[Community Clubs]]&gt;0),1,0)</f>
        <v>0</v>
      </c>
      <c r="Q39" s="22"/>
      <c r="R39" s="22"/>
      <c r="S39" s="22"/>
      <c r="T39" s="22"/>
      <c r="U39" s="22"/>
      <c r="V39" s="22"/>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21"/>
    </row>
    <row r="40" spans="1:218" x14ac:dyDescent="0.25">
      <c r="A40" s="22"/>
      <c r="B40" s="22"/>
      <c r="C40" s="22"/>
      <c r="D40" s="22"/>
      <c r="E40" s="22"/>
      <c r="F40" s="22"/>
      <c r="G40" s="22"/>
      <c r="H40" s="22"/>
      <c r="I40" s="22"/>
      <c r="J40" s="22"/>
      <c r="K40" s="17">
        <f>SUM(Table1678[[#This Row],[Challenge 1]:[Challenge 50]])</f>
        <v>0</v>
      </c>
      <c r="L40" s="88">
        <f>SUM(Table1678[[#This Row],[Club 1]:[Club 50]])</f>
        <v>0</v>
      </c>
      <c r="M40" s="88">
        <f>SUM(Table1678[[#This Row],[Intra-school sports 1]:[Intra-school sports 50]])</f>
        <v>0</v>
      </c>
      <c r="N40" s="88">
        <f>SUM(Table1678[[#This Row],[Inter School sports 1]:[Inter School sports 50]])</f>
        <v>0</v>
      </c>
      <c r="O40" s="17">
        <f>COUNTIF(Table1678[[#This Row],[Community club (type name of club(s). All clubs will count as ''1'']],"*")</f>
        <v>0</v>
      </c>
      <c r="P40" s="17">
        <f>IF(OR(Table1678[[#This Row],[Total Challenges]]&gt;0,Table1678[[#This Row],[Total Ex-C Clubs]]&gt;0,Table1678[[#This Row],[Total Intra-School Sports]]&gt;0,Table1678[[#This Row],[Total Inter-School Sports]]&gt;0,Table1678[[#This Row],[Community Clubs]]&gt;0),1,0)</f>
        <v>0</v>
      </c>
      <c r="Q40" s="22"/>
      <c r="R40" s="22"/>
      <c r="S40" s="22"/>
      <c r="T40" s="22"/>
      <c r="U40" s="22"/>
      <c r="V40" s="22"/>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21"/>
    </row>
    <row r="41" spans="1:218" x14ac:dyDescent="0.25">
      <c r="A41" s="22"/>
      <c r="B41" s="22"/>
      <c r="C41" s="22"/>
      <c r="D41" s="22"/>
      <c r="E41" s="22"/>
      <c r="F41" s="22"/>
      <c r="G41" s="22"/>
      <c r="H41" s="22"/>
      <c r="I41" s="22"/>
      <c r="J41" s="22"/>
      <c r="K41" s="17">
        <f>SUM(Table1678[[#This Row],[Challenge 1]:[Challenge 50]])</f>
        <v>0</v>
      </c>
      <c r="L41" s="88">
        <f>SUM(Table1678[[#This Row],[Club 1]:[Club 50]])</f>
        <v>0</v>
      </c>
      <c r="M41" s="88">
        <f>SUM(Table1678[[#This Row],[Intra-school sports 1]:[Intra-school sports 50]])</f>
        <v>0</v>
      </c>
      <c r="N41" s="88">
        <f>SUM(Table1678[[#This Row],[Inter School sports 1]:[Inter School sports 50]])</f>
        <v>0</v>
      </c>
      <c r="O41" s="17">
        <f>COUNTIF(Table1678[[#This Row],[Community club (type name of club(s). All clubs will count as ''1'']],"*")</f>
        <v>0</v>
      </c>
      <c r="P41" s="17">
        <f>IF(OR(Table1678[[#This Row],[Total Challenges]]&gt;0,Table1678[[#This Row],[Total Ex-C Clubs]]&gt;0,Table1678[[#This Row],[Total Intra-School Sports]]&gt;0,Table1678[[#This Row],[Total Inter-School Sports]]&gt;0,Table1678[[#This Row],[Community Clubs]]&gt;0),1,0)</f>
        <v>0</v>
      </c>
      <c r="Q41" s="22"/>
      <c r="R41" s="22"/>
      <c r="S41" s="22"/>
      <c r="T41" s="22"/>
      <c r="U41" s="22"/>
      <c r="V41" s="22"/>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21"/>
    </row>
    <row r="42" spans="1:218" x14ac:dyDescent="0.25">
      <c r="A42" s="22"/>
      <c r="B42" s="22"/>
      <c r="C42" s="22"/>
      <c r="D42" s="22"/>
      <c r="E42" s="22"/>
      <c r="F42" s="22"/>
      <c r="G42" s="22"/>
      <c r="H42" s="22"/>
      <c r="I42" s="22"/>
      <c r="J42" s="22"/>
      <c r="K42" s="17">
        <f>SUM(Table1678[[#This Row],[Challenge 1]:[Challenge 50]])</f>
        <v>0</v>
      </c>
      <c r="L42" s="88">
        <f>SUM(Table1678[[#This Row],[Club 1]:[Club 50]])</f>
        <v>0</v>
      </c>
      <c r="M42" s="88">
        <f>SUM(Table1678[[#This Row],[Intra-school sports 1]:[Intra-school sports 50]])</f>
        <v>0</v>
      </c>
      <c r="N42" s="88">
        <f>SUM(Table1678[[#This Row],[Inter School sports 1]:[Inter School sports 50]])</f>
        <v>0</v>
      </c>
      <c r="O42" s="17">
        <f>COUNTIF(Table1678[[#This Row],[Community club (type name of club(s). All clubs will count as ''1'']],"*")</f>
        <v>0</v>
      </c>
      <c r="P42" s="17">
        <f>IF(OR(Table1678[[#This Row],[Total Challenges]]&gt;0,Table1678[[#This Row],[Total Ex-C Clubs]]&gt;0,Table1678[[#This Row],[Total Intra-School Sports]]&gt;0,Table1678[[#This Row],[Total Inter-School Sports]]&gt;0,Table1678[[#This Row],[Community Clubs]]&gt;0),1,0)</f>
        <v>0</v>
      </c>
      <c r="Q42" s="22"/>
      <c r="R42" s="22"/>
      <c r="S42" s="22"/>
      <c r="T42" s="22"/>
      <c r="U42" s="22"/>
      <c r="V42" s="22"/>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21"/>
    </row>
    <row r="43" spans="1:218" x14ac:dyDescent="0.25">
      <c r="A43" s="22"/>
      <c r="B43" s="22"/>
      <c r="C43" s="22"/>
      <c r="D43" s="22"/>
      <c r="E43" s="22"/>
      <c r="F43" s="22"/>
      <c r="G43" s="22"/>
      <c r="H43" s="22"/>
      <c r="I43" s="22"/>
      <c r="J43" s="22"/>
      <c r="K43" s="17">
        <f>SUM(Table1678[[#This Row],[Challenge 1]:[Challenge 50]])</f>
        <v>0</v>
      </c>
      <c r="L43" s="88">
        <f>SUM(Table1678[[#This Row],[Club 1]:[Club 50]])</f>
        <v>0</v>
      </c>
      <c r="M43" s="88">
        <f>SUM(Table1678[[#This Row],[Intra-school sports 1]:[Intra-school sports 50]])</f>
        <v>0</v>
      </c>
      <c r="N43" s="88">
        <f>SUM(Table1678[[#This Row],[Inter School sports 1]:[Inter School sports 50]])</f>
        <v>0</v>
      </c>
      <c r="O43" s="17">
        <f>COUNTIF(Table1678[[#This Row],[Community club (type name of club(s). All clubs will count as ''1'']],"*")</f>
        <v>0</v>
      </c>
      <c r="P43" s="17">
        <f>IF(OR(Table1678[[#This Row],[Total Challenges]]&gt;0,Table1678[[#This Row],[Total Ex-C Clubs]]&gt;0,Table1678[[#This Row],[Total Intra-School Sports]]&gt;0,Table1678[[#This Row],[Total Inter-School Sports]]&gt;0,Table1678[[#This Row],[Community Clubs]]&gt;0),1,0)</f>
        <v>0</v>
      </c>
      <c r="Q43" s="22"/>
      <c r="R43" s="22"/>
      <c r="S43" s="22"/>
      <c r="T43" s="22"/>
      <c r="U43" s="22"/>
      <c r="V43" s="22"/>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21"/>
    </row>
    <row r="44" spans="1:218" x14ac:dyDescent="0.25">
      <c r="A44" s="22"/>
      <c r="B44" s="22"/>
      <c r="C44" s="22"/>
      <c r="D44" s="22"/>
      <c r="E44" s="22"/>
      <c r="F44" s="22"/>
      <c r="G44" s="22"/>
      <c r="H44" s="22"/>
      <c r="I44" s="22"/>
      <c r="J44" s="22"/>
      <c r="K44" s="17">
        <f>SUM(Table1678[[#This Row],[Challenge 1]:[Challenge 50]])</f>
        <v>0</v>
      </c>
      <c r="L44" s="88">
        <f>SUM(Table1678[[#This Row],[Club 1]:[Club 50]])</f>
        <v>0</v>
      </c>
      <c r="M44" s="88">
        <f>SUM(Table1678[[#This Row],[Intra-school sports 1]:[Intra-school sports 50]])</f>
        <v>0</v>
      </c>
      <c r="N44" s="88">
        <f>SUM(Table1678[[#This Row],[Inter School sports 1]:[Inter School sports 50]])</f>
        <v>0</v>
      </c>
      <c r="O44" s="17">
        <f>COUNTIF(Table1678[[#This Row],[Community club (type name of club(s). All clubs will count as ''1'']],"*")</f>
        <v>0</v>
      </c>
      <c r="P44" s="17">
        <f>IF(OR(Table1678[[#This Row],[Total Challenges]]&gt;0,Table1678[[#This Row],[Total Ex-C Clubs]]&gt;0,Table1678[[#This Row],[Total Intra-School Sports]]&gt;0,Table1678[[#This Row],[Total Inter-School Sports]]&gt;0,Table1678[[#This Row],[Community Clubs]]&gt;0),1,0)</f>
        <v>0</v>
      </c>
      <c r="Q44" s="22"/>
      <c r="R44" s="22"/>
      <c r="S44" s="22"/>
      <c r="T44" s="22"/>
      <c r="U44" s="22"/>
      <c r="V44" s="22"/>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21"/>
    </row>
    <row r="45" spans="1:218" x14ac:dyDescent="0.25">
      <c r="A45" s="22"/>
      <c r="B45" s="22"/>
      <c r="C45" s="22"/>
      <c r="D45" s="22"/>
      <c r="E45" s="22"/>
      <c r="F45" s="22"/>
      <c r="G45" s="22"/>
      <c r="H45" s="22"/>
      <c r="I45" s="22"/>
      <c r="J45" s="22"/>
      <c r="K45" s="17">
        <f>SUM(Table1678[[#This Row],[Challenge 1]:[Challenge 50]])</f>
        <v>0</v>
      </c>
      <c r="L45" s="88">
        <f>SUM(Table1678[[#This Row],[Club 1]:[Club 50]])</f>
        <v>0</v>
      </c>
      <c r="M45" s="88">
        <f>SUM(Table1678[[#This Row],[Intra-school sports 1]:[Intra-school sports 50]])</f>
        <v>0</v>
      </c>
      <c r="N45" s="88">
        <f>SUM(Table1678[[#This Row],[Inter School sports 1]:[Inter School sports 50]])</f>
        <v>0</v>
      </c>
      <c r="O45" s="17">
        <f>COUNTIF(Table1678[[#This Row],[Community club (type name of club(s). All clubs will count as ''1'']],"*")</f>
        <v>0</v>
      </c>
      <c r="P45" s="17">
        <f>IF(OR(Table1678[[#This Row],[Total Challenges]]&gt;0,Table1678[[#This Row],[Total Ex-C Clubs]]&gt;0,Table1678[[#This Row],[Total Intra-School Sports]]&gt;0,Table1678[[#This Row],[Total Inter-School Sports]]&gt;0,Table1678[[#This Row],[Community Clubs]]&gt;0),1,0)</f>
        <v>0</v>
      </c>
      <c r="Q45" s="22"/>
      <c r="R45" s="22"/>
      <c r="S45" s="22"/>
      <c r="T45" s="22"/>
      <c r="U45" s="22"/>
      <c r="V45" s="22"/>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21"/>
    </row>
    <row r="46" spans="1:218" x14ac:dyDescent="0.25">
      <c r="A46" s="22"/>
      <c r="B46" s="22"/>
      <c r="C46" s="22"/>
      <c r="D46" s="22"/>
      <c r="E46" s="22"/>
      <c r="F46" s="22"/>
      <c r="G46" s="22"/>
      <c r="H46" s="22"/>
      <c r="I46" s="22"/>
      <c r="J46" s="22"/>
      <c r="K46" s="17">
        <f>SUM(Table1678[[#This Row],[Challenge 1]:[Challenge 50]])</f>
        <v>0</v>
      </c>
      <c r="L46" s="88">
        <f>SUM(Table1678[[#This Row],[Club 1]:[Club 50]])</f>
        <v>0</v>
      </c>
      <c r="M46" s="88">
        <f>SUM(Table1678[[#This Row],[Intra-school sports 1]:[Intra-school sports 50]])</f>
        <v>0</v>
      </c>
      <c r="N46" s="88">
        <f>SUM(Table1678[[#This Row],[Inter School sports 1]:[Inter School sports 50]])</f>
        <v>0</v>
      </c>
      <c r="O46" s="17">
        <f>COUNTIF(Table1678[[#This Row],[Community club (type name of club(s). All clubs will count as ''1'']],"*")</f>
        <v>0</v>
      </c>
      <c r="P46" s="17">
        <f>IF(OR(Table1678[[#This Row],[Total Challenges]]&gt;0,Table1678[[#This Row],[Total Ex-C Clubs]]&gt;0,Table1678[[#This Row],[Total Intra-School Sports]]&gt;0,Table1678[[#This Row],[Total Inter-School Sports]]&gt;0,Table1678[[#This Row],[Community Clubs]]&gt;0),1,0)</f>
        <v>0</v>
      </c>
      <c r="Q46" s="22"/>
      <c r="R46" s="22"/>
      <c r="S46" s="22"/>
      <c r="T46" s="22"/>
      <c r="U46" s="22"/>
      <c r="V46" s="22"/>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21"/>
    </row>
    <row r="47" spans="1:218" x14ac:dyDescent="0.25">
      <c r="A47" s="22"/>
      <c r="B47" s="22"/>
      <c r="C47" s="22"/>
      <c r="D47" s="22"/>
      <c r="E47" s="22"/>
      <c r="F47" s="22"/>
      <c r="G47" s="22"/>
      <c r="H47" s="22"/>
      <c r="I47" s="22"/>
      <c r="J47" s="22"/>
      <c r="K47" s="17">
        <f>SUM(Table1678[[#This Row],[Challenge 1]:[Challenge 50]])</f>
        <v>0</v>
      </c>
      <c r="L47" s="88">
        <f>SUM(Table1678[[#This Row],[Club 1]:[Club 50]])</f>
        <v>0</v>
      </c>
      <c r="M47" s="88">
        <f>SUM(Table1678[[#This Row],[Intra-school sports 1]:[Intra-school sports 50]])</f>
        <v>0</v>
      </c>
      <c r="N47" s="88">
        <f>SUM(Table1678[[#This Row],[Inter School sports 1]:[Inter School sports 50]])</f>
        <v>0</v>
      </c>
      <c r="O47" s="17">
        <f>COUNTIF(Table1678[[#This Row],[Community club (type name of club(s). All clubs will count as ''1'']],"*")</f>
        <v>0</v>
      </c>
      <c r="P47" s="17">
        <f>IF(OR(Table1678[[#This Row],[Total Challenges]]&gt;0,Table1678[[#This Row],[Total Ex-C Clubs]]&gt;0,Table1678[[#This Row],[Total Intra-School Sports]]&gt;0,Table1678[[#This Row],[Total Inter-School Sports]]&gt;0,Table1678[[#This Row],[Community Clubs]]&gt;0),1,0)</f>
        <v>0</v>
      </c>
      <c r="Q47" s="22"/>
      <c r="R47" s="22"/>
      <c r="S47" s="22"/>
      <c r="T47" s="22"/>
      <c r="U47" s="22"/>
      <c r="V47" s="22"/>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21"/>
    </row>
    <row r="48" spans="1:218" x14ac:dyDescent="0.25">
      <c r="A48" s="22"/>
      <c r="B48" s="22"/>
      <c r="C48" s="22"/>
      <c r="D48" s="22"/>
      <c r="E48" s="22"/>
      <c r="F48" s="22"/>
      <c r="G48" s="22"/>
      <c r="H48" s="22"/>
      <c r="I48" s="22"/>
      <c r="J48" s="22"/>
      <c r="K48" s="17">
        <f>SUM(Table1678[[#This Row],[Challenge 1]:[Challenge 50]])</f>
        <v>0</v>
      </c>
      <c r="L48" s="88">
        <f>SUM(Table1678[[#This Row],[Club 1]:[Club 50]])</f>
        <v>0</v>
      </c>
      <c r="M48" s="88">
        <f>SUM(Table1678[[#This Row],[Intra-school sports 1]:[Intra-school sports 50]])</f>
        <v>0</v>
      </c>
      <c r="N48" s="88">
        <f>SUM(Table1678[[#This Row],[Inter School sports 1]:[Inter School sports 50]])</f>
        <v>0</v>
      </c>
      <c r="O48" s="17">
        <f>COUNTIF(Table1678[[#This Row],[Community club (type name of club(s). All clubs will count as ''1'']],"*")</f>
        <v>0</v>
      </c>
      <c r="P48" s="17">
        <f>IF(OR(Table1678[[#This Row],[Total Challenges]]&gt;0,Table1678[[#This Row],[Total Ex-C Clubs]]&gt;0,Table1678[[#This Row],[Total Intra-School Sports]]&gt;0,Table1678[[#This Row],[Total Inter-School Sports]]&gt;0,Table1678[[#This Row],[Community Clubs]]&gt;0),1,0)</f>
        <v>0</v>
      </c>
      <c r="Q48" s="22"/>
      <c r="R48" s="22"/>
      <c r="S48" s="22"/>
      <c r="T48" s="22"/>
      <c r="U48" s="22"/>
      <c r="V48" s="22"/>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21"/>
    </row>
    <row r="49" spans="1:218" x14ac:dyDescent="0.25">
      <c r="A49" s="22"/>
      <c r="B49" s="22"/>
      <c r="C49" s="22"/>
      <c r="D49" s="22"/>
      <c r="E49" s="22"/>
      <c r="F49" s="22"/>
      <c r="G49" s="22"/>
      <c r="H49" s="22"/>
      <c r="I49" s="22"/>
      <c r="J49" s="22"/>
      <c r="K49" s="17">
        <f>SUM(Table1678[[#This Row],[Challenge 1]:[Challenge 50]])</f>
        <v>0</v>
      </c>
      <c r="L49" s="88">
        <f>SUM(Table1678[[#This Row],[Club 1]:[Club 50]])</f>
        <v>0</v>
      </c>
      <c r="M49" s="88">
        <f>SUM(Table1678[[#This Row],[Intra-school sports 1]:[Intra-school sports 50]])</f>
        <v>0</v>
      </c>
      <c r="N49" s="88">
        <f>SUM(Table1678[[#This Row],[Inter School sports 1]:[Inter School sports 50]])</f>
        <v>0</v>
      </c>
      <c r="O49" s="17">
        <f>COUNTIF(Table1678[[#This Row],[Community club (type name of club(s). All clubs will count as ''1'']],"*")</f>
        <v>0</v>
      </c>
      <c r="P49" s="17">
        <f>IF(OR(Table1678[[#This Row],[Total Challenges]]&gt;0,Table1678[[#This Row],[Total Ex-C Clubs]]&gt;0,Table1678[[#This Row],[Total Intra-School Sports]]&gt;0,Table1678[[#This Row],[Total Inter-School Sports]]&gt;0,Table1678[[#This Row],[Community Clubs]]&gt;0),1,0)</f>
        <v>0</v>
      </c>
      <c r="Q49" s="22"/>
      <c r="R49" s="22"/>
      <c r="S49" s="22"/>
      <c r="T49" s="22"/>
      <c r="U49" s="22"/>
      <c r="V49" s="22"/>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21"/>
    </row>
    <row r="50" spans="1:218" x14ac:dyDescent="0.25">
      <c r="A50" s="22"/>
      <c r="B50" s="22"/>
      <c r="C50" s="22"/>
      <c r="D50" s="22"/>
      <c r="E50" s="22"/>
      <c r="F50" s="22"/>
      <c r="G50" s="22"/>
      <c r="H50" s="22"/>
      <c r="I50" s="22"/>
      <c r="J50" s="22"/>
      <c r="K50" s="17">
        <f>SUM(Table1678[[#This Row],[Challenge 1]:[Challenge 50]])</f>
        <v>0</v>
      </c>
      <c r="L50" s="88">
        <f>SUM(Table1678[[#This Row],[Club 1]:[Club 50]])</f>
        <v>0</v>
      </c>
      <c r="M50" s="88">
        <f>SUM(Table1678[[#This Row],[Intra-school sports 1]:[Intra-school sports 50]])</f>
        <v>0</v>
      </c>
      <c r="N50" s="88">
        <f>SUM(Table1678[[#This Row],[Inter School sports 1]:[Inter School sports 50]])</f>
        <v>0</v>
      </c>
      <c r="O50" s="17">
        <f>COUNTIF(Table1678[[#This Row],[Community club (type name of club(s). All clubs will count as ''1'']],"*")</f>
        <v>0</v>
      </c>
      <c r="P50" s="17">
        <f>IF(OR(Table1678[[#This Row],[Total Challenges]]&gt;0,Table1678[[#This Row],[Total Ex-C Clubs]]&gt;0,Table1678[[#This Row],[Total Intra-School Sports]]&gt;0,Table1678[[#This Row],[Total Inter-School Sports]]&gt;0,Table1678[[#This Row],[Community Clubs]]&gt;0),1,0)</f>
        <v>0</v>
      </c>
      <c r="Q50" s="22"/>
      <c r="R50" s="22"/>
      <c r="S50" s="22"/>
      <c r="T50" s="22"/>
      <c r="U50" s="22"/>
      <c r="V50" s="22"/>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21"/>
    </row>
    <row r="51" spans="1:218" x14ac:dyDescent="0.25">
      <c r="A51" s="22"/>
      <c r="B51" s="22"/>
      <c r="C51" s="22"/>
      <c r="D51" s="22"/>
      <c r="E51" s="22"/>
      <c r="F51" s="22"/>
      <c r="G51" s="22"/>
      <c r="H51" s="22"/>
      <c r="I51" s="22"/>
      <c r="J51" s="22"/>
      <c r="K51" s="17">
        <f>SUM(Table1678[[#This Row],[Challenge 1]:[Challenge 50]])</f>
        <v>0</v>
      </c>
      <c r="L51" s="88">
        <f>SUM(Table1678[[#This Row],[Club 1]:[Club 50]])</f>
        <v>0</v>
      </c>
      <c r="M51" s="88">
        <f>SUM(Table1678[[#This Row],[Intra-school sports 1]:[Intra-school sports 50]])</f>
        <v>0</v>
      </c>
      <c r="N51" s="88">
        <f>SUM(Table1678[[#This Row],[Inter School sports 1]:[Inter School sports 50]])</f>
        <v>0</v>
      </c>
      <c r="O51" s="17">
        <f>COUNTIF(Table1678[[#This Row],[Community club (type name of club(s). All clubs will count as ''1'']],"*")</f>
        <v>0</v>
      </c>
      <c r="P51" s="17">
        <f>IF(OR(Table1678[[#This Row],[Total Challenges]]&gt;0,Table1678[[#This Row],[Total Ex-C Clubs]]&gt;0,Table1678[[#This Row],[Total Intra-School Sports]]&gt;0,Table1678[[#This Row],[Total Inter-School Sports]]&gt;0,Table1678[[#This Row],[Community Clubs]]&gt;0),1,0)</f>
        <v>0</v>
      </c>
      <c r="Q51" s="22"/>
      <c r="R51" s="22"/>
      <c r="S51" s="22"/>
      <c r="T51" s="22"/>
      <c r="U51" s="22"/>
      <c r="V51" s="22"/>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21"/>
    </row>
    <row r="52" spans="1:218" x14ac:dyDescent="0.25">
      <c r="A52" s="22"/>
      <c r="B52" s="22"/>
      <c r="C52" s="22"/>
      <c r="D52" s="22"/>
      <c r="E52" s="22"/>
      <c r="F52" s="22"/>
      <c r="G52" s="22"/>
      <c r="H52" s="22"/>
      <c r="I52" s="22"/>
      <c r="J52" s="22"/>
      <c r="K52" s="17">
        <f>SUM(Table1678[[#This Row],[Challenge 1]:[Challenge 50]])</f>
        <v>0</v>
      </c>
      <c r="L52" s="88">
        <f>SUM(Table1678[[#This Row],[Club 1]:[Club 50]])</f>
        <v>0</v>
      </c>
      <c r="M52" s="88">
        <f>SUM(Table1678[[#This Row],[Intra-school sports 1]:[Intra-school sports 50]])</f>
        <v>0</v>
      </c>
      <c r="N52" s="88">
        <f>SUM(Table1678[[#This Row],[Inter School sports 1]:[Inter School sports 50]])</f>
        <v>0</v>
      </c>
      <c r="O52" s="17">
        <f>COUNTIF(Table1678[[#This Row],[Community club (type name of club(s). All clubs will count as ''1'']],"*")</f>
        <v>0</v>
      </c>
      <c r="P52" s="17">
        <f>IF(OR(Table1678[[#This Row],[Total Challenges]]&gt;0,Table1678[[#This Row],[Total Ex-C Clubs]]&gt;0,Table1678[[#This Row],[Total Intra-School Sports]]&gt;0,Table1678[[#This Row],[Total Inter-School Sports]]&gt;0,Table1678[[#This Row],[Community Clubs]]&gt;0),1,0)</f>
        <v>0</v>
      </c>
      <c r="Q52" s="22"/>
      <c r="R52" s="22"/>
      <c r="S52" s="22"/>
      <c r="T52" s="22"/>
      <c r="U52" s="22"/>
      <c r="V52" s="22"/>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21"/>
    </row>
    <row r="53" spans="1:218" x14ac:dyDescent="0.25">
      <c r="A53" s="22"/>
      <c r="B53" s="22"/>
      <c r="C53" s="22"/>
      <c r="D53" s="22"/>
      <c r="E53" s="22"/>
      <c r="F53" s="22"/>
      <c r="G53" s="22"/>
      <c r="H53" s="22"/>
      <c r="I53" s="22"/>
      <c r="J53" s="22"/>
      <c r="K53" s="17">
        <f>SUM(Table1678[[#This Row],[Challenge 1]:[Challenge 50]])</f>
        <v>0</v>
      </c>
      <c r="L53" s="88">
        <f>SUM(Table1678[[#This Row],[Club 1]:[Club 50]])</f>
        <v>0</v>
      </c>
      <c r="M53" s="88">
        <f>SUM(Table1678[[#This Row],[Intra-school sports 1]:[Intra-school sports 50]])</f>
        <v>0</v>
      </c>
      <c r="N53" s="88">
        <f>SUM(Table1678[[#This Row],[Inter School sports 1]:[Inter School sports 50]])</f>
        <v>0</v>
      </c>
      <c r="O53" s="17">
        <f>COUNTIF(Table1678[[#This Row],[Community club (type name of club(s). All clubs will count as ''1'']],"*")</f>
        <v>0</v>
      </c>
      <c r="P53" s="17">
        <f>IF(OR(Table1678[[#This Row],[Total Challenges]]&gt;0,Table1678[[#This Row],[Total Ex-C Clubs]]&gt;0,Table1678[[#This Row],[Total Intra-School Sports]]&gt;0,Table1678[[#This Row],[Total Inter-School Sports]]&gt;0,Table1678[[#This Row],[Community Clubs]]&gt;0),1,0)</f>
        <v>0</v>
      </c>
      <c r="Q53" s="22"/>
      <c r="R53" s="22"/>
      <c r="S53" s="22"/>
      <c r="T53" s="22"/>
      <c r="U53" s="22"/>
      <c r="V53" s="22"/>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21"/>
    </row>
    <row r="54" spans="1:218" x14ac:dyDescent="0.25">
      <c r="A54" s="22"/>
      <c r="B54" s="22"/>
      <c r="C54" s="22"/>
      <c r="D54" s="22"/>
      <c r="E54" s="22"/>
      <c r="F54" s="22"/>
      <c r="G54" s="22"/>
      <c r="H54" s="22"/>
      <c r="I54" s="22"/>
      <c r="J54" s="22"/>
      <c r="K54" s="17">
        <f>SUM(Table1678[[#This Row],[Challenge 1]:[Challenge 50]])</f>
        <v>0</v>
      </c>
      <c r="L54" s="88">
        <f>SUM(Table1678[[#This Row],[Club 1]:[Club 50]])</f>
        <v>0</v>
      </c>
      <c r="M54" s="88">
        <f>SUM(Table1678[[#This Row],[Intra-school sports 1]:[Intra-school sports 50]])</f>
        <v>0</v>
      </c>
      <c r="N54" s="88">
        <f>SUM(Table1678[[#This Row],[Inter School sports 1]:[Inter School sports 50]])</f>
        <v>0</v>
      </c>
      <c r="O54" s="17">
        <f>COUNTIF(Table1678[[#This Row],[Community club (type name of club(s). All clubs will count as ''1'']],"*")</f>
        <v>0</v>
      </c>
      <c r="P54" s="17">
        <f>IF(OR(Table1678[[#This Row],[Total Challenges]]&gt;0,Table1678[[#This Row],[Total Ex-C Clubs]]&gt;0,Table1678[[#This Row],[Total Intra-School Sports]]&gt;0,Table1678[[#This Row],[Total Inter-School Sports]]&gt;0,Table1678[[#This Row],[Community Clubs]]&gt;0),1,0)</f>
        <v>0</v>
      </c>
      <c r="Q54" s="22"/>
      <c r="R54" s="22"/>
      <c r="S54" s="22"/>
      <c r="T54" s="22"/>
      <c r="U54" s="22"/>
      <c r="V54" s="22"/>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21"/>
    </row>
    <row r="55" spans="1:218" x14ac:dyDescent="0.25">
      <c r="A55" s="22"/>
      <c r="B55" s="22"/>
      <c r="C55" s="22"/>
      <c r="D55" s="22"/>
      <c r="E55" s="22"/>
      <c r="F55" s="22"/>
      <c r="G55" s="22"/>
      <c r="H55" s="22"/>
      <c r="I55" s="22"/>
      <c r="J55" s="22"/>
      <c r="K55" s="17">
        <f>SUM(Table1678[[#This Row],[Challenge 1]:[Challenge 50]])</f>
        <v>0</v>
      </c>
      <c r="L55" s="88">
        <f>SUM(Table1678[[#This Row],[Club 1]:[Club 50]])</f>
        <v>0</v>
      </c>
      <c r="M55" s="88">
        <f>SUM(Table1678[[#This Row],[Intra-school sports 1]:[Intra-school sports 50]])</f>
        <v>0</v>
      </c>
      <c r="N55" s="88">
        <f>SUM(Table1678[[#This Row],[Inter School sports 1]:[Inter School sports 50]])</f>
        <v>0</v>
      </c>
      <c r="O55" s="17">
        <f>COUNTIF(Table1678[[#This Row],[Community club (type name of club(s). All clubs will count as ''1'']],"*")</f>
        <v>0</v>
      </c>
      <c r="P55" s="17">
        <f>IF(OR(Table1678[[#This Row],[Total Challenges]]&gt;0,Table1678[[#This Row],[Total Ex-C Clubs]]&gt;0,Table1678[[#This Row],[Total Intra-School Sports]]&gt;0,Table1678[[#This Row],[Total Inter-School Sports]]&gt;0,Table1678[[#This Row],[Community Clubs]]&gt;0),1,0)</f>
        <v>0</v>
      </c>
      <c r="Q55" s="22"/>
      <c r="R55" s="22"/>
      <c r="S55" s="22"/>
      <c r="T55" s="22"/>
      <c r="U55" s="22"/>
      <c r="V55" s="22"/>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21"/>
    </row>
    <row r="56" spans="1:218" x14ac:dyDescent="0.25">
      <c r="A56" s="22"/>
      <c r="B56" s="22"/>
      <c r="C56" s="22"/>
      <c r="D56" s="22"/>
      <c r="E56" s="22"/>
      <c r="F56" s="22"/>
      <c r="G56" s="22"/>
      <c r="H56" s="22"/>
      <c r="I56" s="22"/>
      <c r="J56" s="22"/>
      <c r="K56" s="17">
        <f>SUM(Table1678[[#This Row],[Challenge 1]:[Challenge 50]])</f>
        <v>0</v>
      </c>
      <c r="L56" s="88">
        <f>SUM(Table1678[[#This Row],[Club 1]:[Club 50]])</f>
        <v>0</v>
      </c>
      <c r="M56" s="88">
        <f>SUM(Table1678[[#This Row],[Intra-school sports 1]:[Intra-school sports 50]])</f>
        <v>0</v>
      </c>
      <c r="N56" s="88">
        <f>SUM(Table1678[[#This Row],[Inter School sports 1]:[Inter School sports 50]])</f>
        <v>0</v>
      </c>
      <c r="O56" s="17">
        <f>COUNTIF(Table1678[[#This Row],[Community club (type name of club(s). All clubs will count as ''1'']],"*")</f>
        <v>0</v>
      </c>
      <c r="P56" s="17">
        <f>IF(OR(Table1678[[#This Row],[Total Challenges]]&gt;0,Table1678[[#This Row],[Total Ex-C Clubs]]&gt;0,Table1678[[#This Row],[Total Intra-School Sports]]&gt;0,Table1678[[#This Row],[Total Inter-School Sports]]&gt;0,Table1678[[#This Row],[Community Clubs]]&gt;0),1,0)</f>
        <v>0</v>
      </c>
      <c r="Q56" s="22"/>
      <c r="R56" s="22"/>
      <c r="S56" s="22"/>
      <c r="T56" s="22"/>
      <c r="U56" s="22"/>
      <c r="V56" s="22"/>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21"/>
    </row>
    <row r="57" spans="1:218" x14ac:dyDescent="0.25">
      <c r="A57" s="22"/>
      <c r="B57" s="22"/>
      <c r="C57" s="22"/>
      <c r="D57" s="22"/>
      <c r="E57" s="22"/>
      <c r="F57" s="22"/>
      <c r="G57" s="22"/>
      <c r="H57" s="22"/>
      <c r="I57" s="22"/>
      <c r="J57" s="22"/>
      <c r="K57" s="17">
        <f>SUM(Table1678[[#This Row],[Challenge 1]:[Challenge 50]])</f>
        <v>0</v>
      </c>
      <c r="L57" s="88">
        <f>SUM(Table1678[[#This Row],[Club 1]:[Club 50]])</f>
        <v>0</v>
      </c>
      <c r="M57" s="88">
        <f>SUM(Table1678[[#This Row],[Intra-school sports 1]:[Intra-school sports 50]])</f>
        <v>0</v>
      </c>
      <c r="N57" s="88">
        <f>SUM(Table1678[[#This Row],[Inter School sports 1]:[Inter School sports 50]])</f>
        <v>0</v>
      </c>
      <c r="O57" s="17">
        <f>COUNTIF(Table1678[[#This Row],[Community club (type name of club(s). All clubs will count as ''1'']],"*")</f>
        <v>0</v>
      </c>
      <c r="P57" s="17">
        <f>IF(OR(Table1678[[#This Row],[Total Challenges]]&gt;0,Table1678[[#This Row],[Total Ex-C Clubs]]&gt;0,Table1678[[#This Row],[Total Intra-School Sports]]&gt;0,Table1678[[#This Row],[Total Inter-School Sports]]&gt;0,Table1678[[#This Row],[Community Clubs]]&gt;0),1,0)</f>
        <v>0</v>
      </c>
      <c r="Q57" s="22"/>
      <c r="R57" s="22"/>
      <c r="S57" s="22"/>
      <c r="T57" s="22"/>
      <c r="U57" s="22"/>
      <c r="V57" s="22"/>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21"/>
    </row>
    <row r="58" spans="1:218" x14ac:dyDescent="0.25">
      <c r="A58" s="22"/>
      <c r="B58" s="22"/>
      <c r="C58" s="22"/>
      <c r="D58" s="22"/>
      <c r="E58" s="22"/>
      <c r="F58" s="22"/>
      <c r="G58" s="22"/>
      <c r="H58" s="22"/>
      <c r="I58" s="22"/>
      <c r="J58" s="22"/>
      <c r="K58" s="17">
        <f>SUM(Table1678[[#This Row],[Challenge 1]:[Challenge 50]])</f>
        <v>0</v>
      </c>
      <c r="L58" s="88">
        <f>SUM(Table1678[[#This Row],[Club 1]:[Club 50]])</f>
        <v>0</v>
      </c>
      <c r="M58" s="88">
        <f>SUM(Table1678[[#This Row],[Intra-school sports 1]:[Intra-school sports 50]])</f>
        <v>0</v>
      </c>
      <c r="N58" s="88">
        <f>SUM(Table1678[[#This Row],[Inter School sports 1]:[Inter School sports 50]])</f>
        <v>0</v>
      </c>
      <c r="O58" s="17">
        <f>COUNTIF(Table1678[[#This Row],[Community club (type name of club(s). All clubs will count as ''1'']],"*")</f>
        <v>0</v>
      </c>
      <c r="P58" s="17">
        <f>IF(OR(Table1678[[#This Row],[Total Challenges]]&gt;0,Table1678[[#This Row],[Total Ex-C Clubs]]&gt;0,Table1678[[#This Row],[Total Intra-School Sports]]&gt;0,Table1678[[#This Row],[Total Inter-School Sports]]&gt;0,Table1678[[#This Row],[Community Clubs]]&gt;0),1,0)</f>
        <v>0</v>
      </c>
      <c r="Q58" s="22"/>
      <c r="R58" s="22"/>
      <c r="S58" s="22"/>
      <c r="T58" s="22"/>
      <c r="U58" s="22"/>
      <c r="V58" s="22"/>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21"/>
    </row>
    <row r="59" spans="1:218" x14ac:dyDescent="0.25">
      <c r="A59" s="22"/>
      <c r="B59" s="22"/>
      <c r="C59" s="22"/>
      <c r="D59" s="22"/>
      <c r="E59" s="22"/>
      <c r="F59" s="22"/>
      <c r="G59" s="22"/>
      <c r="H59" s="22"/>
      <c r="I59" s="22"/>
      <c r="J59" s="22"/>
      <c r="K59" s="17">
        <f>SUM(Table1678[[#This Row],[Challenge 1]:[Challenge 50]])</f>
        <v>0</v>
      </c>
      <c r="L59" s="88">
        <f>SUM(Table1678[[#This Row],[Club 1]:[Club 50]])</f>
        <v>0</v>
      </c>
      <c r="M59" s="88">
        <f>SUM(Table1678[[#This Row],[Intra-school sports 1]:[Intra-school sports 50]])</f>
        <v>0</v>
      </c>
      <c r="N59" s="88">
        <f>SUM(Table1678[[#This Row],[Inter School sports 1]:[Inter School sports 50]])</f>
        <v>0</v>
      </c>
      <c r="O59" s="17">
        <f>COUNTIF(Table1678[[#This Row],[Community club (type name of club(s). All clubs will count as ''1'']],"*")</f>
        <v>0</v>
      </c>
      <c r="P59" s="17">
        <f>IF(OR(Table1678[[#This Row],[Total Challenges]]&gt;0,Table1678[[#This Row],[Total Ex-C Clubs]]&gt;0,Table1678[[#This Row],[Total Intra-School Sports]]&gt;0,Table1678[[#This Row],[Total Inter-School Sports]]&gt;0,Table1678[[#This Row],[Community Clubs]]&gt;0),1,0)</f>
        <v>0</v>
      </c>
      <c r="Q59" s="22"/>
      <c r="R59" s="22"/>
      <c r="S59" s="22"/>
      <c r="T59" s="22"/>
      <c r="U59" s="22"/>
      <c r="V59" s="22"/>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21"/>
    </row>
    <row r="60" spans="1:218" x14ac:dyDescent="0.25">
      <c r="A60" s="22"/>
      <c r="B60" s="22"/>
      <c r="C60" s="22"/>
      <c r="D60" s="22"/>
      <c r="E60" s="22"/>
      <c r="F60" s="22"/>
      <c r="G60" s="22"/>
      <c r="H60" s="22"/>
      <c r="I60" s="22"/>
      <c r="J60" s="22"/>
      <c r="K60" s="17">
        <f>SUM(Table1678[[#This Row],[Challenge 1]:[Challenge 50]])</f>
        <v>0</v>
      </c>
      <c r="L60" s="88">
        <f>SUM(Table1678[[#This Row],[Club 1]:[Club 50]])</f>
        <v>0</v>
      </c>
      <c r="M60" s="88">
        <f>SUM(Table1678[[#This Row],[Intra-school sports 1]:[Intra-school sports 50]])</f>
        <v>0</v>
      </c>
      <c r="N60" s="88">
        <f>SUM(Table1678[[#This Row],[Inter School sports 1]:[Inter School sports 50]])</f>
        <v>0</v>
      </c>
      <c r="O60" s="17">
        <f>COUNTIF(Table1678[[#This Row],[Community club (type name of club(s). All clubs will count as ''1'']],"*")</f>
        <v>0</v>
      </c>
      <c r="P60" s="17">
        <f>IF(OR(Table1678[[#This Row],[Total Challenges]]&gt;0,Table1678[[#This Row],[Total Ex-C Clubs]]&gt;0,Table1678[[#This Row],[Total Intra-School Sports]]&gt;0,Table1678[[#This Row],[Total Inter-School Sports]]&gt;0,Table1678[[#This Row],[Community Clubs]]&gt;0),1,0)</f>
        <v>0</v>
      </c>
      <c r="Q60" s="22"/>
      <c r="R60" s="22"/>
      <c r="S60" s="22"/>
      <c r="T60" s="22"/>
      <c r="U60" s="22"/>
      <c r="V60" s="22"/>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21"/>
    </row>
    <row r="61" spans="1:218" x14ac:dyDescent="0.25">
      <c r="A61" s="22"/>
      <c r="B61" s="22"/>
      <c r="C61" s="22"/>
      <c r="D61" s="22"/>
      <c r="E61" s="22"/>
      <c r="F61" s="22"/>
      <c r="G61" s="22"/>
      <c r="H61" s="22"/>
      <c r="I61" s="22"/>
      <c r="J61" s="22"/>
      <c r="K61" s="17">
        <f>SUM(Table1678[[#This Row],[Challenge 1]:[Challenge 50]])</f>
        <v>0</v>
      </c>
      <c r="L61" s="88">
        <f>SUM(Table1678[[#This Row],[Club 1]:[Club 50]])</f>
        <v>0</v>
      </c>
      <c r="M61" s="88">
        <f>SUM(Table1678[[#This Row],[Intra-school sports 1]:[Intra-school sports 50]])</f>
        <v>0</v>
      </c>
      <c r="N61" s="88">
        <f>SUM(Table1678[[#This Row],[Inter School sports 1]:[Inter School sports 50]])</f>
        <v>0</v>
      </c>
      <c r="O61" s="17">
        <f>COUNTIF(Table1678[[#This Row],[Community club (type name of club(s). All clubs will count as ''1'']],"*")</f>
        <v>0</v>
      </c>
      <c r="P61" s="17">
        <f>IF(OR(Table1678[[#This Row],[Total Challenges]]&gt;0,Table1678[[#This Row],[Total Ex-C Clubs]]&gt;0,Table1678[[#This Row],[Total Intra-School Sports]]&gt;0,Table1678[[#This Row],[Total Inter-School Sports]]&gt;0,Table1678[[#This Row],[Community Clubs]]&gt;0),1,0)</f>
        <v>0</v>
      </c>
      <c r="Q61" s="22"/>
      <c r="R61" s="22"/>
      <c r="S61" s="22"/>
      <c r="T61" s="22"/>
      <c r="U61" s="22"/>
      <c r="V61" s="22"/>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21"/>
    </row>
    <row r="62" spans="1:218" x14ac:dyDescent="0.25">
      <c r="A62" s="22"/>
      <c r="B62" s="22"/>
      <c r="C62" s="22"/>
      <c r="D62" s="22"/>
      <c r="E62" s="22"/>
      <c r="F62" s="22"/>
      <c r="G62" s="22"/>
      <c r="H62" s="22"/>
      <c r="I62" s="22"/>
      <c r="J62" s="22"/>
      <c r="K62" s="17">
        <f>SUM(Table1678[[#This Row],[Challenge 1]:[Challenge 50]])</f>
        <v>0</v>
      </c>
      <c r="L62" s="88">
        <f>SUM(Table1678[[#This Row],[Club 1]:[Club 50]])</f>
        <v>0</v>
      </c>
      <c r="M62" s="88">
        <f>SUM(Table1678[[#This Row],[Intra-school sports 1]:[Intra-school sports 50]])</f>
        <v>0</v>
      </c>
      <c r="N62" s="88">
        <f>SUM(Table1678[[#This Row],[Inter School sports 1]:[Inter School sports 50]])</f>
        <v>0</v>
      </c>
      <c r="O62" s="17">
        <f>COUNTIF(Table1678[[#This Row],[Community club (type name of club(s). All clubs will count as ''1'']],"*")</f>
        <v>0</v>
      </c>
      <c r="P62" s="17">
        <f>IF(OR(Table1678[[#This Row],[Total Challenges]]&gt;0,Table1678[[#This Row],[Total Ex-C Clubs]]&gt;0,Table1678[[#This Row],[Total Intra-School Sports]]&gt;0,Table1678[[#This Row],[Total Inter-School Sports]]&gt;0,Table1678[[#This Row],[Community Clubs]]&gt;0),1,0)</f>
        <v>0</v>
      </c>
      <c r="Q62" s="22"/>
      <c r="R62" s="22"/>
      <c r="S62" s="22"/>
      <c r="T62" s="22"/>
      <c r="U62" s="22"/>
      <c r="V62" s="22"/>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21"/>
    </row>
    <row r="63" spans="1:218" x14ac:dyDescent="0.25">
      <c r="A63" s="22"/>
      <c r="B63" s="22"/>
      <c r="C63" s="22"/>
      <c r="D63" s="22"/>
      <c r="E63" s="22"/>
      <c r="F63" s="22"/>
      <c r="G63" s="22"/>
      <c r="H63" s="22"/>
      <c r="I63" s="22"/>
      <c r="J63" s="22"/>
      <c r="K63" s="17">
        <f>SUM(Table1678[[#This Row],[Challenge 1]:[Challenge 50]])</f>
        <v>0</v>
      </c>
      <c r="L63" s="88">
        <f>SUM(Table1678[[#This Row],[Club 1]:[Club 50]])</f>
        <v>0</v>
      </c>
      <c r="M63" s="88">
        <f>SUM(Table1678[[#This Row],[Intra-school sports 1]:[Intra-school sports 50]])</f>
        <v>0</v>
      </c>
      <c r="N63" s="88">
        <f>SUM(Table1678[[#This Row],[Inter School sports 1]:[Inter School sports 50]])</f>
        <v>0</v>
      </c>
      <c r="O63" s="17">
        <f>COUNTIF(Table1678[[#This Row],[Community club (type name of club(s). All clubs will count as ''1'']],"*")</f>
        <v>0</v>
      </c>
      <c r="P63" s="17">
        <f>IF(OR(Table1678[[#This Row],[Total Challenges]]&gt;0,Table1678[[#This Row],[Total Ex-C Clubs]]&gt;0,Table1678[[#This Row],[Total Intra-School Sports]]&gt;0,Table1678[[#This Row],[Total Inter-School Sports]]&gt;0,Table1678[[#This Row],[Community Clubs]]&gt;0),1,0)</f>
        <v>0</v>
      </c>
      <c r="Q63" s="22"/>
      <c r="R63" s="22"/>
      <c r="S63" s="22"/>
      <c r="T63" s="22"/>
      <c r="U63" s="22"/>
      <c r="V63" s="22"/>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21"/>
    </row>
    <row r="64" spans="1:218" x14ac:dyDescent="0.25">
      <c r="A64" s="22"/>
      <c r="B64" s="22"/>
      <c r="C64" s="22"/>
      <c r="D64" s="22"/>
      <c r="E64" s="22"/>
      <c r="F64" s="22"/>
      <c r="G64" s="22"/>
      <c r="H64" s="22"/>
      <c r="I64" s="22"/>
      <c r="J64" s="22"/>
      <c r="K64" s="17">
        <f>SUM(Table1678[[#This Row],[Challenge 1]:[Challenge 50]])</f>
        <v>0</v>
      </c>
      <c r="L64" s="88">
        <f>SUM(Table1678[[#This Row],[Club 1]:[Club 50]])</f>
        <v>0</v>
      </c>
      <c r="M64" s="88">
        <f>SUM(Table1678[[#This Row],[Intra-school sports 1]:[Intra-school sports 50]])</f>
        <v>0</v>
      </c>
      <c r="N64" s="88">
        <f>SUM(Table1678[[#This Row],[Inter School sports 1]:[Inter School sports 50]])</f>
        <v>0</v>
      </c>
      <c r="O64" s="17">
        <f>COUNTIF(Table1678[[#This Row],[Community club (type name of club(s). All clubs will count as ''1'']],"*")</f>
        <v>0</v>
      </c>
      <c r="P64" s="17">
        <f>IF(OR(Table1678[[#This Row],[Total Challenges]]&gt;0,Table1678[[#This Row],[Total Ex-C Clubs]]&gt;0,Table1678[[#This Row],[Total Intra-School Sports]]&gt;0,Table1678[[#This Row],[Total Inter-School Sports]]&gt;0,Table1678[[#This Row],[Community Clubs]]&gt;0),1,0)</f>
        <v>0</v>
      </c>
      <c r="Q64" s="22"/>
      <c r="R64" s="22"/>
      <c r="S64" s="22"/>
      <c r="T64" s="22"/>
      <c r="U64" s="22"/>
      <c r="V64" s="22"/>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21"/>
    </row>
    <row r="65" spans="1:218" x14ac:dyDescent="0.25">
      <c r="A65" s="22"/>
      <c r="B65" s="22"/>
      <c r="C65" s="22"/>
      <c r="D65" s="22"/>
      <c r="E65" s="22"/>
      <c r="F65" s="22"/>
      <c r="G65" s="22"/>
      <c r="H65" s="22"/>
      <c r="I65" s="22"/>
      <c r="J65" s="22"/>
      <c r="K65" s="17">
        <f>SUM(Table1678[[#This Row],[Challenge 1]:[Challenge 50]])</f>
        <v>0</v>
      </c>
      <c r="L65" s="88">
        <f>SUM(Table1678[[#This Row],[Club 1]:[Club 50]])</f>
        <v>0</v>
      </c>
      <c r="M65" s="88">
        <f>SUM(Table1678[[#This Row],[Intra-school sports 1]:[Intra-school sports 50]])</f>
        <v>0</v>
      </c>
      <c r="N65" s="88">
        <f>SUM(Table1678[[#This Row],[Inter School sports 1]:[Inter School sports 50]])</f>
        <v>0</v>
      </c>
      <c r="O65" s="17">
        <f>COUNTIF(Table1678[[#This Row],[Community club (type name of club(s). All clubs will count as ''1'']],"*")</f>
        <v>0</v>
      </c>
      <c r="P65" s="17">
        <f>IF(OR(Table1678[[#This Row],[Total Challenges]]&gt;0,Table1678[[#This Row],[Total Ex-C Clubs]]&gt;0,Table1678[[#This Row],[Total Intra-School Sports]]&gt;0,Table1678[[#This Row],[Total Inter-School Sports]]&gt;0,Table1678[[#This Row],[Community Clubs]]&gt;0),1,0)</f>
        <v>0</v>
      </c>
      <c r="Q65" s="22"/>
      <c r="R65" s="22"/>
      <c r="S65" s="22"/>
      <c r="T65" s="22"/>
      <c r="U65" s="22"/>
      <c r="V65" s="22"/>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21"/>
    </row>
    <row r="66" spans="1:218" x14ac:dyDescent="0.25">
      <c r="A66" s="22"/>
      <c r="B66" s="22"/>
      <c r="C66" s="22"/>
      <c r="D66" s="22"/>
      <c r="E66" s="22"/>
      <c r="F66" s="22"/>
      <c r="G66" s="22"/>
      <c r="H66" s="22"/>
      <c r="I66" s="22"/>
      <c r="J66" s="22"/>
      <c r="K66" s="17">
        <f>SUM(Table1678[[#This Row],[Challenge 1]:[Challenge 50]])</f>
        <v>0</v>
      </c>
      <c r="L66" s="88">
        <f>SUM(Table1678[[#This Row],[Club 1]:[Club 50]])</f>
        <v>0</v>
      </c>
      <c r="M66" s="88">
        <f>SUM(Table1678[[#This Row],[Intra-school sports 1]:[Intra-school sports 50]])</f>
        <v>0</v>
      </c>
      <c r="N66" s="88">
        <f>SUM(Table1678[[#This Row],[Inter School sports 1]:[Inter School sports 50]])</f>
        <v>0</v>
      </c>
      <c r="O66" s="17">
        <f>COUNTIF(Table1678[[#This Row],[Community club (type name of club(s). All clubs will count as ''1'']],"*")</f>
        <v>0</v>
      </c>
      <c r="P66" s="17">
        <f>IF(OR(Table1678[[#This Row],[Total Challenges]]&gt;0,Table1678[[#This Row],[Total Ex-C Clubs]]&gt;0,Table1678[[#This Row],[Total Intra-School Sports]]&gt;0,Table1678[[#This Row],[Total Inter-School Sports]]&gt;0,Table1678[[#This Row],[Community Clubs]]&gt;0),1,0)</f>
        <v>0</v>
      </c>
      <c r="Q66" s="22"/>
      <c r="R66" s="22"/>
      <c r="S66" s="22"/>
      <c r="T66" s="22"/>
      <c r="U66" s="22"/>
      <c r="V66" s="22"/>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21"/>
    </row>
    <row r="67" spans="1:218" x14ac:dyDescent="0.25">
      <c r="A67" s="22"/>
      <c r="B67" s="22"/>
      <c r="C67" s="22"/>
      <c r="D67" s="22"/>
      <c r="E67" s="22"/>
      <c r="F67" s="22"/>
      <c r="G67" s="22"/>
      <c r="H67" s="22"/>
      <c r="I67" s="22"/>
      <c r="J67" s="22"/>
      <c r="K67" s="17">
        <f>SUM(Table1678[[#This Row],[Challenge 1]:[Challenge 50]])</f>
        <v>0</v>
      </c>
      <c r="L67" s="88">
        <f>SUM(Table1678[[#This Row],[Club 1]:[Club 50]])</f>
        <v>0</v>
      </c>
      <c r="M67" s="88">
        <f>SUM(Table1678[[#This Row],[Intra-school sports 1]:[Intra-school sports 50]])</f>
        <v>0</v>
      </c>
      <c r="N67" s="88">
        <f>SUM(Table1678[[#This Row],[Inter School sports 1]:[Inter School sports 50]])</f>
        <v>0</v>
      </c>
      <c r="O67" s="17">
        <f>COUNTIF(Table1678[[#This Row],[Community club (type name of club(s). All clubs will count as ''1'']],"*")</f>
        <v>0</v>
      </c>
      <c r="P67" s="17">
        <f>IF(OR(Table1678[[#This Row],[Total Challenges]]&gt;0,Table1678[[#This Row],[Total Ex-C Clubs]]&gt;0,Table1678[[#This Row],[Total Intra-School Sports]]&gt;0,Table1678[[#This Row],[Total Inter-School Sports]]&gt;0,Table1678[[#This Row],[Community Clubs]]&gt;0),1,0)</f>
        <v>0</v>
      </c>
      <c r="Q67" s="22"/>
      <c r="R67" s="22"/>
      <c r="S67" s="22"/>
      <c r="T67" s="22"/>
      <c r="U67" s="22"/>
      <c r="V67" s="22"/>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21"/>
    </row>
    <row r="68" spans="1:218" x14ac:dyDescent="0.25">
      <c r="A68" s="22"/>
      <c r="B68" s="22"/>
      <c r="C68" s="22"/>
      <c r="D68" s="22"/>
      <c r="E68" s="22"/>
      <c r="F68" s="22"/>
      <c r="G68" s="22"/>
      <c r="H68" s="22"/>
      <c r="I68" s="22"/>
      <c r="J68" s="22"/>
      <c r="K68" s="17">
        <f>SUM(Table1678[[#This Row],[Challenge 1]:[Challenge 50]])</f>
        <v>0</v>
      </c>
      <c r="L68" s="88">
        <f>SUM(Table1678[[#This Row],[Club 1]:[Club 50]])</f>
        <v>0</v>
      </c>
      <c r="M68" s="88">
        <f>SUM(Table1678[[#This Row],[Intra-school sports 1]:[Intra-school sports 50]])</f>
        <v>0</v>
      </c>
      <c r="N68" s="88">
        <f>SUM(Table1678[[#This Row],[Inter School sports 1]:[Inter School sports 50]])</f>
        <v>0</v>
      </c>
      <c r="O68" s="17">
        <f>COUNTIF(Table1678[[#This Row],[Community club (type name of club(s). All clubs will count as ''1'']],"*")</f>
        <v>0</v>
      </c>
      <c r="P68" s="17">
        <f>IF(OR(Table1678[[#This Row],[Total Challenges]]&gt;0,Table1678[[#This Row],[Total Ex-C Clubs]]&gt;0,Table1678[[#This Row],[Total Intra-School Sports]]&gt;0,Table1678[[#This Row],[Total Inter-School Sports]]&gt;0,Table1678[[#This Row],[Community Clubs]]&gt;0),1,0)</f>
        <v>0</v>
      </c>
      <c r="Q68" s="22"/>
      <c r="R68" s="22"/>
      <c r="S68" s="22"/>
      <c r="T68" s="22"/>
      <c r="U68" s="22"/>
      <c r="V68" s="22"/>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21"/>
    </row>
    <row r="69" spans="1:218" x14ac:dyDescent="0.25">
      <c r="A69" s="22"/>
      <c r="B69" s="22"/>
      <c r="C69" s="22"/>
      <c r="D69" s="22"/>
      <c r="E69" s="22"/>
      <c r="F69" s="22"/>
      <c r="G69" s="22"/>
      <c r="H69" s="22"/>
      <c r="I69" s="22"/>
      <c r="J69" s="22"/>
      <c r="K69" s="17">
        <f>SUM(Table1678[[#This Row],[Challenge 1]:[Challenge 50]])</f>
        <v>0</v>
      </c>
      <c r="L69" s="88">
        <f>SUM(Table1678[[#This Row],[Club 1]:[Club 50]])</f>
        <v>0</v>
      </c>
      <c r="M69" s="88">
        <f>SUM(Table1678[[#This Row],[Intra-school sports 1]:[Intra-school sports 50]])</f>
        <v>0</v>
      </c>
      <c r="N69" s="88">
        <f>SUM(Table1678[[#This Row],[Inter School sports 1]:[Inter School sports 50]])</f>
        <v>0</v>
      </c>
      <c r="O69" s="17">
        <f>COUNTIF(Table1678[[#This Row],[Community club (type name of club(s). All clubs will count as ''1'']],"*")</f>
        <v>0</v>
      </c>
      <c r="P69" s="17">
        <f>IF(OR(Table1678[[#This Row],[Total Challenges]]&gt;0,Table1678[[#This Row],[Total Ex-C Clubs]]&gt;0,Table1678[[#This Row],[Total Intra-School Sports]]&gt;0,Table1678[[#This Row],[Total Inter-School Sports]]&gt;0,Table1678[[#This Row],[Community Clubs]]&gt;0),1,0)</f>
        <v>0</v>
      </c>
      <c r="Q69" s="22"/>
      <c r="R69" s="22"/>
      <c r="S69" s="22"/>
      <c r="T69" s="22"/>
      <c r="U69" s="22"/>
      <c r="V69" s="22"/>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21"/>
    </row>
    <row r="70" spans="1:218" x14ac:dyDescent="0.25">
      <c r="A70" s="22"/>
      <c r="B70" s="22"/>
      <c r="C70" s="22"/>
      <c r="D70" s="22"/>
      <c r="E70" s="22"/>
      <c r="F70" s="22"/>
      <c r="G70" s="22"/>
      <c r="H70" s="22"/>
      <c r="I70" s="22"/>
      <c r="J70" s="22"/>
      <c r="K70" s="17">
        <f>SUM(Table1678[[#This Row],[Challenge 1]:[Challenge 50]])</f>
        <v>0</v>
      </c>
      <c r="L70" s="88">
        <f>SUM(Table1678[[#This Row],[Club 1]:[Club 50]])</f>
        <v>0</v>
      </c>
      <c r="M70" s="88">
        <f>SUM(Table1678[[#This Row],[Intra-school sports 1]:[Intra-school sports 50]])</f>
        <v>0</v>
      </c>
      <c r="N70" s="88">
        <f>SUM(Table1678[[#This Row],[Inter School sports 1]:[Inter School sports 50]])</f>
        <v>0</v>
      </c>
      <c r="O70" s="17">
        <f>COUNTIF(Table1678[[#This Row],[Community club (type name of club(s). All clubs will count as ''1'']],"*")</f>
        <v>0</v>
      </c>
      <c r="P70" s="17">
        <f>IF(OR(Table1678[[#This Row],[Total Challenges]]&gt;0,Table1678[[#This Row],[Total Ex-C Clubs]]&gt;0,Table1678[[#This Row],[Total Intra-School Sports]]&gt;0,Table1678[[#This Row],[Total Inter-School Sports]]&gt;0,Table1678[[#This Row],[Community Clubs]]&gt;0),1,0)</f>
        <v>0</v>
      </c>
      <c r="Q70" s="22"/>
      <c r="R70" s="22"/>
      <c r="S70" s="22"/>
      <c r="T70" s="22"/>
      <c r="U70" s="22"/>
      <c r="V70" s="22"/>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21"/>
    </row>
    <row r="71" spans="1:218" x14ac:dyDescent="0.25">
      <c r="A71" s="22"/>
      <c r="B71" s="22"/>
      <c r="C71" s="22"/>
      <c r="D71" s="22"/>
      <c r="E71" s="22"/>
      <c r="F71" s="22"/>
      <c r="G71" s="22"/>
      <c r="H71" s="22"/>
      <c r="I71" s="22"/>
      <c r="J71" s="22"/>
      <c r="K71" s="17">
        <f>SUM(Table1678[[#This Row],[Challenge 1]:[Challenge 50]])</f>
        <v>0</v>
      </c>
      <c r="L71" s="88">
        <f>SUM(Table1678[[#This Row],[Club 1]:[Club 50]])</f>
        <v>0</v>
      </c>
      <c r="M71" s="88">
        <f>SUM(Table1678[[#This Row],[Intra-school sports 1]:[Intra-school sports 50]])</f>
        <v>0</v>
      </c>
      <c r="N71" s="88">
        <f>SUM(Table1678[[#This Row],[Inter School sports 1]:[Inter School sports 50]])</f>
        <v>0</v>
      </c>
      <c r="O71" s="17">
        <f>COUNTIF(Table1678[[#This Row],[Community club (type name of club(s). All clubs will count as ''1'']],"*")</f>
        <v>0</v>
      </c>
      <c r="P71" s="17">
        <f>IF(OR(Table1678[[#This Row],[Total Challenges]]&gt;0,Table1678[[#This Row],[Total Ex-C Clubs]]&gt;0,Table1678[[#This Row],[Total Intra-School Sports]]&gt;0,Table1678[[#This Row],[Total Inter-School Sports]]&gt;0,Table1678[[#This Row],[Community Clubs]]&gt;0),1,0)</f>
        <v>0</v>
      </c>
      <c r="Q71" s="22"/>
      <c r="R71" s="22"/>
      <c r="S71" s="22"/>
      <c r="T71" s="22"/>
      <c r="U71" s="22"/>
      <c r="V71" s="22"/>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21"/>
    </row>
    <row r="72" spans="1:218" x14ac:dyDescent="0.25">
      <c r="A72" s="22"/>
      <c r="B72" s="22"/>
      <c r="C72" s="22"/>
      <c r="D72" s="22"/>
      <c r="E72" s="22"/>
      <c r="F72" s="22"/>
      <c r="G72" s="22"/>
      <c r="H72" s="22"/>
      <c r="I72" s="22"/>
      <c r="J72" s="22"/>
      <c r="K72" s="17">
        <f>SUM(Table1678[[#This Row],[Challenge 1]:[Challenge 50]])</f>
        <v>0</v>
      </c>
      <c r="L72" s="88">
        <f>SUM(Table1678[[#This Row],[Club 1]:[Club 50]])</f>
        <v>0</v>
      </c>
      <c r="M72" s="88">
        <f>SUM(Table1678[[#This Row],[Intra-school sports 1]:[Intra-school sports 50]])</f>
        <v>0</v>
      </c>
      <c r="N72" s="88">
        <f>SUM(Table1678[[#This Row],[Inter School sports 1]:[Inter School sports 50]])</f>
        <v>0</v>
      </c>
      <c r="O72" s="17">
        <f>COUNTIF(Table1678[[#This Row],[Community club (type name of club(s). All clubs will count as ''1'']],"*")</f>
        <v>0</v>
      </c>
      <c r="P72" s="17">
        <f>IF(OR(Table1678[[#This Row],[Total Challenges]]&gt;0,Table1678[[#This Row],[Total Ex-C Clubs]]&gt;0,Table1678[[#This Row],[Total Intra-School Sports]]&gt;0,Table1678[[#This Row],[Total Inter-School Sports]]&gt;0,Table1678[[#This Row],[Community Clubs]]&gt;0),1,0)</f>
        <v>0</v>
      </c>
      <c r="Q72" s="22"/>
      <c r="R72" s="22"/>
      <c r="S72" s="22"/>
      <c r="T72" s="22"/>
      <c r="U72" s="22"/>
      <c r="V72" s="22"/>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21"/>
    </row>
    <row r="73" spans="1:218" x14ac:dyDescent="0.25">
      <c r="A73" s="22"/>
      <c r="B73" s="22"/>
      <c r="C73" s="22"/>
      <c r="D73" s="22"/>
      <c r="E73" s="22"/>
      <c r="F73" s="22"/>
      <c r="G73" s="22"/>
      <c r="H73" s="22"/>
      <c r="I73" s="22"/>
      <c r="J73" s="22"/>
      <c r="K73" s="17">
        <f>SUM(Table1678[[#This Row],[Challenge 1]:[Challenge 50]])</f>
        <v>0</v>
      </c>
      <c r="L73" s="88">
        <f>SUM(Table1678[[#This Row],[Club 1]:[Club 50]])</f>
        <v>0</v>
      </c>
      <c r="M73" s="88">
        <f>SUM(Table1678[[#This Row],[Intra-school sports 1]:[Intra-school sports 50]])</f>
        <v>0</v>
      </c>
      <c r="N73" s="88">
        <f>SUM(Table1678[[#This Row],[Inter School sports 1]:[Inter School sports 50]])</f>
        <v>0</v>
      </c>
      <c r="O73" s="17">
        <f>COUNTIF(Table1678[[#This Row],[Community club (type name of club(s). All clubs will count as ''1'']],"*")</f>
        <v>0</v>
      </c>
      <c r="P73" s="17">
        <f>IF(OR(Table1678[[#This Row],[Total Challenges]]&gt;0,Table1678[[#This Row],[Total Ex-C Clubs]]&gt;0,Table1678[[#This Row],[Total Intra-School Sports]]&gt;0,Table1678[[#This Row],[Total Inter-School Sports]]&gt;0,Table1678[[#This Row],[Community Clubs]]&gt;0),1,0)</f>
        <v>0</v>
      </c>
      <c r="Q73" s="22"/>
      <c r="R73" s="22"/>
      <c r="S73" s="22"/>
      <c r="T73" s="22"/>
      <c r="U73" s="22"/>
      <c r="V73" s="22"/>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21"/>
    </row>
    <row r="74" spans="1:218" x14ac:dyDescent="0.25">
      <c r="A74" s="22"/>
      <c r="B74" s="22"/>
      <c r="C74" s="22"/>
      <c r="D74" s="22"/>
      <c r="E74" s="22"/>
      <c r="F74" s="22"/>
      <c r="G74" s="22"/>
      <c r="H74" s="22"/>
      <c r="I74" s="22"/>
      <c r="J74" s="22"/>
      <c r="K74" s="17">
        <f>SUM(Table1678[[#This Row],[Challenge 1]:[Challenge 50]])</f>
        <v>0</v>
      </c>
      <c r="L74" s="88">
        <f>SUM(Table1678[[#This Row],[Club 1]:[Club 50]])</f>
        <v>0</v>
      </c>
      <c r="M74" s="88">
        <f>SUM(Table1678[[#This Row],[Intra-school sports 1]:[Intra-school sports 50]])</f>
        <v>0</v>
      </c>
      <c r="N74" s="88">
        <f>SUM(Table1678[[#This Row],[Inter School sports 1]:[Inter School sports 50]])</f>
        <v>0</v>
      </c>
      <c r="O74" s="17">
        <f>COUNTIF(Table1678[[#This Row],[Community club (type name of club(s). All clubs will count as ''1'']],"*")</f>
        <v>0</v>
      </c>
      <c r="P74" s="17">
        <f>IF(OR(Table1678[[#This Row],[Total Challenges]]&gt;0,Table1678[[#This Row],[Total Ex-C Clubs]]&gt;0,Table1678[[#This Row],[Total Intra-School Sports]]&gt;0,Table1678[[#This Row],[Total Inter-School Sports]]&gt;0,Table1678[[#This Row],[Community Clubs]]&gt;0),1,0)</f>
        <v>0</v>
      </c>
      <c r="Q74" s="22"/>
      <c r="R74" s="22"/>
      <c r="S74" s="22"/>
      <c r="T74" s="22"/>
      <c r="U74" s="22"/>
      <c r="V74" s="22"/>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21"/>
    </row>
    <row r="75" spans="1:218" x14ac:dyDescent="0.25">
      <c r="A75" s="22"/>
      <c r="B75" s="22"/>
      <c r="C75" s="22"/>
      <c r="D75" s="22"/>
      <c r="E75" s="22"/>
      <c r="F75" s="22"/>
      <c r="G75" s="22"/>
      <c r="H75" s="22"/>
      <c r="I75" s="22"/>
      <c r="J75" s="22"/>
      <c r="K75" s="17">
        <f>SUM(Table1678[[#This Row],[Challenge 1]:[Challenge 50]])</f>
        <v>0</v>
      </c>
      <c r="L75" s="88">
        <f>SUM(Table1678[[#This Row],[Club 1]:[Club 50]])</f>
        <v>0</v>
      </c>
      <c r="M75" s="88">
        <f>SUM(Table1678[[#This Row],[Intra-school sports 1]:[Intra-school sports 50]])</f>
        <v>0</v>
      </c>
      <c r="N75" s="88">
        <f>SUM(Table1678[[#This Row],[Inter School sports 1]:[Inter School sports 50]])</f>
        <v>0</v>
      </c>
      <c r="O75" s="17">
        <f>COUNTIF(Table1678[[#This Row],[Community club (type name of club(s). All clubs will count as ''1'']],"*")</f>
        <v>0</v>
      </c>
      <c r="P75" s="17">
        <f>IF(OR(Table1678[[#This Row],[Total Challenges]]&gt;0,Table1678[[#This Row],[Total Ex-C Clubs]]&gt;0,Table1678[[#This Row],[Total Intra-School Sports]]&gt;0,Table1678[[#This Row],[Total Inter-School Sports]]&gt;0,Table1678[[#This Row],[Community Clubs]]&gt;0),1,0)</f>
        <v>0</v>
      </c>
      <c r="Q75" s="22"/>
      <c r="R75" s="22"/>
      <c r="S75" s="22"/>
      <c r="T75" s="22"/>
      <c r="U75" s="22"/>
      <c r="V75" s="22"/>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21"/>
    </row>
    <row r="76" spans="1:218" x14ac:dyDescent="0.25">
      <c r="A76" s="22"/>
      <c r="B76" s="22"/>
      <c r="C76" s="22"/>
      <c r="D76" s="22"/>
      <c r="E76" s="22"/>
      <c r="F76" s="22"/>
      <c r="G76" s="22"/>
      <c r="H76" s="22"/>
      <c r="I76" s="22"/>
      <c r="J76" s="22"/>
      <c r="K76" s="17">
        <f>SUM(Table1678[[#This Row],[Challenge 1]:[Challenge 50]])</f>
        <v>0</v>
      </c>
      <c r="L76" s="88">
        <f>SUM(Table1678[[#This Row],[Club 1]:[Club 50]])</f>
        <v>0</v>
      </c>
      <c r="M76" s="88">
        <f>SUM(Table1678[[#This Row],[Intra-school sports 1]:[Intra-school sports 50]])</f>
        <v>0</v>
      </c>
      <c r="N76" s="88">
        <f>SUM(Table1678[[#This Row],[Inter School sports 1]:[Inter School sports 50]])</f>
        <v>0</v>
      </c>
      <c r="O76" s="17">
        <f>COUNTIF(Table1678[[#This Row],[Community club (type name of club(s). All clubs will count as ''1'']],"*")</f>
        <v>0</v>
      </c>
      <c r="P76" s="17">
        <f>IF(OR(Table1678[[#This Row],[Total Challenges]]&gt;0,Table1678[[#This Row],[Total Ex-C Clubs]]&gt;0,Table1678[[#This Row],[Total Intra-School Sports]]&gt;0,Table1678[[#This Row],[Total Inter-School Sports]]&gt;0,Table1678[[#This Row],[Community Clubs]]&gt;0),1,0)</f>
        <v>0</v>
      </c>
      <c r="Q76" s="22"/>
      <c r="R76" s="22"/>
      <c r="S76" s="22"/>
      <c r="T76" s="22"/>
      <c r="U76" s="22"/>
      <c r="V76" s="22"/>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21"/>
    </row>
    <row r="77" spans="1:218" x14ac:dyDescent="0.25">
      <c r="A77" s="22"/>
      <c r="B77" s="22"/>
      <c r="C77" s="22"/>
      <c r="D77" s="22"/>
      <c r="E77" s="22"/>
      <c r="F77" s="22"/>
      <c r="G77" s="22"/>
      <c r="H77" s="22"/>
      <c r="I77" s="22"/>
      <c r="J77" s="22"/>
      <c r="K77" s="17">
        <f>SUM(Table1678[[#This Row],[Challenge 1]:[Challenge 50]])</f>
        <v>0</v>
      </c>
      <c r="L77" s="88">
        <f>SUM(Table1678[[#This Row],[Club 1]:[Club 50]])</f>
        <v>0</v>
      </c>
      <c r="M77" s="88">
        <f>SUM(Table1678[[#This Row],[Intra-school sports 1]:[Intra-school sports 50]])</f>
        <v>0</v>
      </c>
      <c r="N77" s="88">
        <f>SUM(Table1678[[#This Row],[Inter School sports 1]:[Inter School sports 50]])</f>
        <v>0</v>
      </c>
      <c r="O77" s="17">
        <f>COUNTIF(Table1678[[#This Row],[Community club (type name of club(s). All clubs will count as ''1'']],"*")</f>
        <v>0</v>
      </c>
      <c r="P77" s="17">
        <f>IF(OR(Table1678[[#This Row],[Total Challenges]]&gt;0,Table1678[[#This Row],[Total Ex-C Clubs]]&gt;0,Table1678[[#This Row],[Total Intra-School Sports]]&gt;0,Table1678[[#This Row],[Total Inter-School Sports]]&gt;0,Table1678[[#This Row],[Community Clubs]]&gt;0),1,0)</f>
        <v>0</v>
      </c>
      <c r="Q77" s="22"/>
      <c r="R77" s="22"/>
      <c r="S77" s="22"/>
      <c r="T77" s="22"/>
      <c r="U77" s="22"/>
      <c r="V77" s="22"/>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21"/>
    </row>
    <row r="78" spans="1:218" x14ac:dyDescent="0.25">
      <c r="A78" s="22"/>
      <c r="B78" s="22"/>
      <c r="C78" s="22"/>
      <c r="D78" s="22"/>
      <c r="E78" s="22"/>
      <c r="F78" s="22"/>
      <c r="G78" s="22"/>
      <c r="H78" s="22"/>
      <c r="I78" s="22"/>
      <c r="J78" s="22"/>
      <c r="K78" s="17">
        <f>SUM(Table1678[[#This Row],[Challenge 1]:[Challenge 50]])</f>
        <v>0</v>
      </c>
      <c r="L78" s="88">
        <f>SUM(Table1678[[#This Row],[Club 1]:[Club 50]])</f>
        <v>0</v>
      </c>
      <c r="M78" s="88">
        <f>SUM(Table1678[[#This Row],[Intra-school sports 1]:[Intra-school sports 50]])</f>
        <v>0</v>
      </c>
      <c r="N78" s="88">
        <f>SUM(Table1678[[#This Row],[Inter School sports 1]:[Inter School sports 50]])</f>
        <v>0</v>
      </c>
      <c r="O78" s="17">
        <f>COUNTIF(Table1678[[#This Row],[Community club (type name of club(s). All clubs will count as ''1'']],"*")</f>
        <v>0</v>
      </c>
      <c r="P78" s="17">
        <f>IF(OR(Table1678[[#This Row],[Total Challenges]]&gt;0,Table1678[[#This Row],[Total Ex-C Clubs]]&gt;0,Table1678[[#This Row],[Total Intra-School Sports]]&gt;0,Table1678[[#This Row],[Total Inter-School Sports]]&gt;0,Table1678[[#This Row],[Community Clubs]]&gt;0),1,0)</f>
        <v>0</v>
      </c>
      <c r="Q78" s="22"/>
      <c r="R78" s="22"/>
      <c r="S78" s="22"/>
      <c r="T78" s="22"/>
      <c r="U78" s="22"/>
      <c r="V78" s="22"/>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21"/>
    </row>
    <row r="79" spans="1:218" x14ac:dyDescent="0.25">
      <c r="A79" s="22"/>
      <c r="B79" s="22"/>
      <c r="C79" s="22"/>
      <c r="D79" s="22"/>
      <c r="E79" s="22"/>
      <c r="F79" s="22"/>
      <c r="G79" s="22"/>
      <c r="H79" s="22"/>
      <c r="I79" s="22"/>
      <c r="J79" s="22"/>
      <c r="K79" s="17">
        <f>SUM(Table1678[[#This Row],[Challenge 1]:[Challenge 50]])</f>
        <v>0</v>
      </c>
      <c r="L79" s="88">
        <f>SUM(Table1678[[#This Row],[Club 1]:[Club 50]])</f>
        <v>0</v>
      </c>
      <c r="M79" s="88">
        <f>SUM(Table1678[[#This Row],[Intra-school sports 1]:[Intra-school sports 50]])</f>
        <v>0</v>
      </c>
      <c r="N79" s="88">
        <f>SUM(Table1678[[#This Row],[Inter School sports 1]:[Inter School sports 50]])</f>
        <v>0</v>
      </c>
      <c r="O79" s="17">
        <f>COUNTIF(Table1678[[#This Row],[Community club (type name of club(s). All clubs will count as ''1'']],"*")</f>
        <v>0</v>
      </c>
      <c r="P79" s="17">
        <f>IF(OR(Table1678[[#This Row],[Total Challenges]]&gt;0,Table1678[[#This Row],[Total Ex-C Clubs]]&gt;0,Table1678[[#This Row],[Total Intra-School Sports]]&gt;0,Table1678[[#This Row],[Total Inter-School Sports]]&gt;0,Table1678[[#This Row],[Community Clubs]]&gt;0),1,0)</f>
        <v>0</v>
      </c>
      <c r="Q79" s="22"/>
      <c r="R79" s="22"/>
      <c r="S79" s="22"/>
      <c r="T79" s="22"/>
      <c r="U79" s="22"/>
      <c r="V79" s="22"/>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21"/>
    </row>
    <row r="80" spans="1:218" x14ac:dyDescent="0.25">
      <c r="A80" s="22"/>
      <c r="B80" s="22"/>
      <c r="C80" s="22"/>
      <c r="D80" s="22"/>
      <c r="E80" s="22"/>
      <c r="F80" s="22"/>
      <c r="G80" s="22"/>
      <c r="H80" s="22"/>
      <c r="I80" s="22"/>
      <c r="J80" s="22"/>
      <c r="K80" s="17">
        <f>SUM(Table1678[[#This Row],[Challenge 1]:[Challenge 50]])</f>
        <v>0</v>
      </c>
      <c r="L80" s="88">
        <f>SUM(Table1678[[#This Row],[Club 1]:[Club 50]])</f>
        <v>0</v>
      </c>
      <c r="M80" s="88">
        <f>SUM(Table1678[[#This Row],[Intra-school sports 1]:[Intra-school sports 50]])</f>
        <v>0</v>
      </c>
      <c r="N80" s="88">
        <f>SUM(Table1678[[#This Row],[Inter School sports 1]:[Inter School sports 50]])</f>
        <v>0</v>
      </c>
      <c r="O80" s="17">
        <f>COUNTIF(Table1678[[#This Row],[Community club (type name of club(s). All clubs will count as ''1'']],"*")</f>
        <v>0</v>
      </c>
      <c r="P80" s="17">
        <f>IF(OR(Table1678[[#This Row],[Total Challenges]]&gt;0,Table1678[[#This Row],[Total Ex-C Clubs]]&gt;0,Table1678[[#This Row],[Total Intra-School Sports]]&gt;0,Table1678[[#This Row],[Total Inter-School Sports]]&gt;0,Table1678[[#This Row],[Community Clubs]]&gt;0),1,0)</f>
        <v>0</v>
      </c>
      <c r="Q80" s="22"/>
      <c r="R80" s="22"/>
      <c r="S80" s="22"/>
      <c r="T80" s="22"/>
      <c r="U80" s="22"/>
      <c r="V80" s="22"/>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21"/>
    </row>
    <row r="81" spans="1:218" x14ac:dyDescent="0.25">
      <c r="A81" s="22"/>
      <c r="B81" s="22"/>
      <c r="C81" s="22"/>
      <c r="D81" s="22"/>
      <c r="E81" s="22"/>
      <c r="F81" s="22"/>
      <c r="G81" s="22"/>
      <c r="H81" s="22"/>
      <c r="I81" s="22"/>
      <c r="J81" s="22"/>
      <c r="K81" s="17">
        <f>SUM(Table1678[[#This Row],[Challenge 1]:[Challenge 50]])</f>
        <v>0</v>
      </c>
      <c r="L81" s="88">
        <f>SUM(Table1678[[#This Row],[Club 1]:[Club 50]])</f>
        <v>0</v>
      </c>
      <c r="M81" s="88">
        <f>SUM(Table1678[[#This Row],[Intra-school sports 1]:[Intra-school sports 50]])</f>
        <v>0</v>
      </c>
      <c r="N81" s="88">
        <f>SUM(Table1678[[#This Row],[Inter School sports 1]:[Inter School sports 50]])</f>
        <v>0</v>
      </c>
      <c r="O81" s="17">
        <f>COUNTIF(Table1678[[#This Row],[Community club (type name of club(s). All clubs will count as ''1'']],"*")</f>
        <v>0</v>
      </c>
      <c r="P81" s="17">
        <f>IF(OR(Table1678[[#This Row],[Total Challenges]]&gt;0,Table1678[[#This Row],[Total Ex-C Clubs]]&gt;0,Table1678[[#This Row],[Total Intra-School Sports]]&gt;0,Table1678[[#This Row],[Total Inter-School Sports]]&gt;0,Table1678[[#This Row],[Community Clubs]]&gt;0),1,0)</f>
        <v>0</v>
      </c>
      <c r="Q81" s="22"/>
      <c r="R81" s="22"/>
      <c r="S81" s="22"/>
      <c r="T81" s="22"/>
      <c r="U81" s="22"/>
      <c r="V81" s="22"/>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21"/>
    </row>
    <row r="82" spans="1:218" x14ac:dyDescent="0.25">
      <c r="A82" s="22"/>
      <c r="B82" s="22"/>
      <c r="C82" s="22"/>
      <c r="D82" s="22"/>
      <c r="E82" s="22"/>
      <c r="F82" s="22"/>
      <c r="G82" s="22"/>
      <c r="H82" s="22"/>
      <c r="I82" s="22"/>
      <c r="J82" s="22"/>
      <c r="K82" s="17">
        <f>SUM(Table1678[[#This Row],[Challenge 1]:[Challenge 50]])</f>
        <v>0</v>
      </c>
      <c r="L82" s="88">
        <f>SUM(Table1678[[#This Row],[Club 1]:[Club 50]])</f>
        <v>0</v>
      </c>
      <c r="M82" s="88">
        <f>SUM(Table1678[[#This Row],[Intra-school sports 1]:[Intra-school sports 50]])</f>
        <v>0</v>
      </c>
      <c r="N82" s="88">
        <f>SUM(Table1678[[#This Row],[Inter School sports 1]:[Inter School sports 50]])</f>
        <v>0</v>
      </c>
      <c r="O82" s="17">
        <f>COUNTIF(Table1678[[#This Row],[Community club (type name of club(s). All clubs will count as ''1'']],"*")</f>
        <v>0</v>
      </c>
      <c r="P82" s="17">
        <f>IF(OR(Table1678[[#This Row],[Total Challenges]]&gt;0,Table1678[[#This Row],[Total Ex-C Clubs]]&gt;0,Table1678[[#This Row],[Total Intra-School Sports]]&gt;0,Table1678[[#This Row],[Total Inter-School Sports]]&gt;0,Table1678[[#This Row],[Community Clubs]]&gt;0),1,0)</f>
        <v>0</v>
      </c>
      <c r="Q82" s="22"/>
      <c r="R82" s="22"/>
      <c r="S82" s="22"/>
      <c r="T82" s="22"/>
      <c r="U82" s="22"/>
      <c r="V82" s="22"/>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21"/>
    </row>
    <row r="83" spans="1:218" x14ac:dyDescent="0.25">
      <c r="A83" s="22"/>
      <c r="B83" s="22"/>
      <c r="C83" s="22"/>
      <c r="D83" s="22"/>
      <c r="E83" s="22"/>
      <c r="F83" s="22"/>
      <c r="G83" s="22"/>
      <c r="H83" s="22"/>
      <c r="I83" s="22"/>
      <c r="J83" s="22"/>
      <c r="K83" s="17">
        <f>SUM(Table1678[[#This Row],[Challenge 1]:[Challenge 50]])</f>
        <v>0</v>
      </c>
      <c r="L83" s="88">
        <f>SUM(Table1678[[#This Row],[Club 1]:[Club 50]])</f>
        <v>0</v>
      </c>
      <c r="M83" s="88">
        <f>SUM(Table1678[[#This Row],[Intra-school sports 1]:[Intra-school sports 50]])</f>
        <v>0</v>
      </c>
      <c r="N83" s="88">
        <f>SUM(Table1678[[#This Row],[Inter School sports 1]:[Inter School sports 50]])</f>
        <v>0</v>
      </c>
      <c r="O83" s="17">
        <f>COUNTIF(Table1678[[#This Row],[Community club (type name of club(s). All clubs will count as ''1'']],"*")</f>
        <v>0</v>
      </c>
      <c r="P83" s="17">
        <f>IF(OR(Table1678[[#This Row],[Total Challenges]]&gt;0,Table1678[[#This Row],[Total Ex-C Clubs]]&gt;0,Table1678[[#This Row],[Total Intra-School Sports]]&gt;0,Table1678[[#This Row],[Total Inter-School Sports]]&gt;0,Table1678[[#This Row],[Community Clubs]]&gt;0),1,0)</f>
        <v>0</v>
      </c>
      <c r="Q83" s="22"/>
      <c r="R83" s="22"/>
      <c r="S83" s="22"/>
      <c r="T83" s="22"/>
      <c r="U83" s="22"/>
      <c r="V83" s="22"/>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21"/>
    </row>
    <row r="84" spans="1:218" x14ac:dyDescent="0.25">
      <c r="A84" s="22"/>
      <c r="B84" s="22"/>
      <c r="C84" s="22"/>
      <c r="D84" s="22"/>
      <c r="E84" s="22"/>
      <c r="F84" s="22"/>
      <c r="G84" s="22"/>
      <c r="H84" s="22"/>
      <c r="I84" s="22"/>
      <c r="J84" s="22"/>
      <c r="K84" s="17">
        <f>SUM(Table1678[[#This Row],[Challenge 1]:[Challenge 50]])</f>
        <v>0</v>
      </c>
      <c r="L84" s="88">
        <f>SUM(Table1678[[#This Row],[Club 1]:[Club 50]])</f>
        <v>0</v>
      </c>
      <c r="M84" s="88">
        <f>SUM(Table1678[[#This Row],[Intra-school sports 1]:[Intra-school sports 50]])</f>
        <v>0</v>
      </c>
      <c r="N84" s="88">
        <f>SUM(Table1678[[#This Row],[Inter School sports 1]:[Inter School sports 50]])</f>
        <v>0</v>
      </c>
      <c r="O84" s="17">
        <f>COUNTIF(Table1678[[#This Row],[Community club (type name of club(s). All clubs will count as ''1'']],"*")</f>
        <v>0</v>
      </c>
      <c r="P84" s="17">
        <f>IF(OR(Table1678[[#This Row],[Total Challenges]]&gt;0,Table1678[[#This Row],[Total Ex-C Clubs]]&gt;0,Table1678[[#This Row],[Total Intra-School Sports]]&gt;0,Table1678[[#This Row],[Total Inter-School Sports]]&gt;0,Table1678[[#This Row],[Community Clubs]]&gt;0),1,0)</f>
        <v>0</v>
      </c>
      <c r="Q84" s="22"/>
      <c r="R84" s="22"/>
      <c r="S84" s="22"/>
      <c r="T84" s="22"/>
      <c r="U84" s="22"/>
      <c r="V84" s="22"/>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21"/>
    </row>
    <row r="85" spans="1:218" x14ac:dyDescent="0.25">
      <c r="A85" s="22"/>
      <c r="B85" s="22"/>
      <c r="C85" s="22"/>
      <c r="D85" s="22"/>
      <c r="E85" s="22"/>
      <c r="F85" s="22"/>
      <c r="G85" s="22"/>
      <c r="H85" s="22"/>
      <c r="I85" s="22"/>
      <c r="J85" s="22"/>
      <c r="K85" s="17">
        <f>SUM(Table1678[[#This Row],[Challenge 1]:[Challenge 50]])</f>
        <v>0</v>
      </c>
      <c r="L85" s="88">
        <f>SUM(Table1678[[#This Row],[Club 1]:[Club 50]])</f>
        <v>0</v>
      </c>
      <c r="M85" s="88">
        <f>SUM(Table1678[[#This Row],[Intra-school sports 1]:[Intra-school sports 50]])</f>
        <v>0</v>
      </c>
      <c r="N85" s="88">
        <f>SUM(Table1678[[#This Row],[Inter School sports 1]:[Inter School sports 50]])</f>
        <v>0</v>
      </c>
      <c r="O85" s="17">
        <f>COUNTIF(Table1678[[#This Row],[Community club (type name of club(s). All clubs will count as ''1'']],"*")</f>
        <v>0</v>
      </c>
      <c r="P85" s="17">
        <f>IF(OR(Table1678[[#This Row],[Total Challenges]]&gt;0,Table1678[[#This Row],[Total Ex-C Clubs]]&gt;0,Table1678[[#This Row],[Total Intra-School Sports]]&gt;0,Table1678[[#This Row],[Total Inter-School Sports]]&gt;0,Table1678[[#This Row],[Community Clubs]]&gt;0),1,0)</f>
        <v>0</v>
      </c>
      <c r="Q85" s="22"/>
      <c r="R85" s="22"/>
      <c r="S85" s="22"/>
      <c r="T85" s="22"/>
      <c r="U85" s="22"/>
      <c r="V85" s="22"/>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21"/>
    </row>
    <row r="86" spans="1:218" x14ac:dyDescent="0.25">
      <c r="A86" s="22"/>
      <c r="B86" s="22"/>
      <c r="C86" s="22"/>
      <c r="D86" s="22"/>
      <c r="E86" s="22"/>
      <c r="F86" s="22"/>
      <c r="G86" s="22"/>
      <c r="H86" s="22"/>
      <c r="I86" s="22"/>
      <c r="J86" s="22"/>
      <c r="K86" s="17">
        <f>SUM(Table1678[[#This Row],[Challenge 1]:[Challenge 50]])</f>
        <v>0</v>
      </c>
      <c r="L86" s="88">
        <f>SUM(Table1678[[#This Row],[Club 1]:[Club 50]])</f>
        <v>0</v>
      </c>
      <c r="M86" s="88">
        <f>SUM(Table1678[[#This Row],[Intra-school sports 1]:[Intra-school sports 50]])</f>
        <v>0</v>
      </c>
      <c r="N86" s="88">
        <f>SUM(Table1678[[#This Row],[Inter School sports 1]:[Inter School sports 50]])</f>
        <v>0</v>
      </c>
      <c r="O86" s="17">
        <f>COUNTIF(Table1678[[#This Row],[Community club (type name of club(s). All clubs will count as ''1'']],"*")</f>
        <v>0</v>
      </c>
      <c r="P86" s="17">
        <f>IF(OR(Table1678[[#This Row],[Total Challenges]]&gt;0,Table1678[[#This Row],[Total Ex-C Clubs]]&gt;0,Table1678[[#This Row],[Total Intra-School Sports]]&gt;0,Table1678[[#This Row],[Total Inter-School Sports]]&gt;0,Table1678[[#This Row],[Community Clubs]]&gt;0),1,0)</f>
        <v>0</v>
      </c>
      <c r="Q86" s="22"/>
      <c r="R86" s="22"/>
      <c r="S86" s="22"/>
      <c r="T86" s="22"/>
      <c r="U86" s="22"/>
      <c r="V86" s="22"/>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21"/>
    </row>
    <row r="87" spans="1:218" x14ac:dyDescent="0.25">
      <c r="A87" s="22"/>
      <c r="B87" s="22"/>
      <c r="C87" s="22"/>
      <c r="D87" s="22"/>
      <c r="E87" s="22"/>
      <c r="F87" s="22"/>
      <c r="G87" s="22"/>
      <c r="H87" s="22"/>
      <c r="I87" s="22"/>
      <c r="J87" s="22"/>
      <c r="K87" s="17">
        <f>SUM(Table1678[[#This Row],[Challenge 1]:[Challenge 50]])</f>
        <v>0</v>
      </c>
      <c r="L87" s="88">
        <f>SUM(Table1678[[#This Row],[Club 1]:[Club 50]])</f>
        <v>0</v>
      </c>
      <c r="M87" s="88">
        <f>SUM(Table1678[[#This Row],[Intra-school sports 1]:[Intra-school sports 50]])</f>
        <v>0</v>
      </c>
      <c r="N87" s="88">
        <f>SUM(Table1678[[#This Row],[Inter School sports 1]:[Inter School sports 50]])</f>
        <v>0</v>
      </c>
      <c r="O87" s="17">
        <f>COUNTIF(Table1678[[#This Row],[Community club (type name of club(s). All clubs will count as ''1'']],"*")</f>
        <v>0</v>
      </c>
      <c r="P87" s="17">
        <f>IF(OR(Table1678[[#This Row],[Total Challenges]]&gt;0,Table1678[[#This Row],[Total Ex-C Clubs]]&gt;0,Table1678[[#This Row],[Total Intra-School Sports]]&gt;0,Table1678[[#This Row],[Total Inter-School Sports]]&gt;0,Table1678[[#This Row],[Community Clubs]]&gt;0),1,0)</f>
        <v>0</v>
      </c>
      <c r="Q87" s="22"/>
      <c r="R87" s="22"/>
      <c r="S87" s="22"/>
      <c r="T87" s="22"/>
      <c r="U87" s="22"/>
      <c r="V87" s="22"/>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21"/>
    </row>
    <row r="88" spans="1:218" x14ac:dyDescent="0.25">
      <c r="A88" s="22"/>
      <c r="B88" s="22"/>
      <c r="C88" s="22"/>
      <c r="D88" s="22"/>
      <c r="E88" s="22"/>
      <c r="F88" s="22"/>
      <c r="G88" s="22"/>
      <c r="H88" s="22"/>
      <c r="I88" s="22"/>
      <c r="J88" s="22"/>
      <c r="K88" s="17">
        <f>SUM(Table1678[[#This Row],[Challenge 1]:[Challenge 50]])</f>
        <v>0</v>
      </c>
      <c r="L88" s="88">
        <f>SUM(Table1678[[#This Row],[Club 1]:[Club 50]])</f>
        <v>0</v>
      </c>
      <c r="M88" s="88">
        <f>SUM(Table1678[[#This Row],[Intra-school sports 1]:[Intra-school sports 50]])</f>
        <v>0</v>
      </c>
      <c r="N88" s="88">
        <f>SUM(Table1678[[#This Row],[Inter School sports 1]:[Inter School sports 50]])</f>
        <v>0</v>
      </c>
      <c r="O88" s="17">
        <f>COUNTIF(Table1678[[#This Row],[Community club (type name of club(s). All clubs will count as ''1'']],"*")</f>
        <v>0</v>
      </c>
      <c r="P88" s="17">
        <f>IF(OR(Table1678[[#This Row],[Total Challenges]]&gt;0,Table1678[[#This Row],[Total Ex-C Clubs]]&gt;0,Table1678[[#This Row],[Total Intra-School Sports]]&gt;0,Table1678[[#This Row],[Total Inter-School Sports]]&gt;0,Table1678[[#This Row],[Community Clubs]]&gt;0),1,0)</f>
        <v>0</v>
      </c>
      <c r="Q88" s="22"/>
      <c r="R88" s="22"/>
      <c r="S88" s="22"/>
      <c r="T88" s="22"/>
      <c r="U88" s="22"/>
      <c r="V88" s="22"/>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21"/>
    </row>
    <row r="89" spans="1:218" x14ac:dyDescent="0.25">
      <c r="A89" s="22"/>
      <c r="B89" s="22"/>
      <c r="C89" s="22"/>
      <c r="D89" s="22"/>
      <c r="E89" s="22"/>
      <c r="F89" s="22"/>
      <c r="G89" s="22"/>
      <c r="H89" s="22"/>
      <c r="I89" s="22"/>
      <c r="J89" s="22"/>
      <c r="K89" s="17">
        <f>SUM(Table1678[[#This Row],[Challenge 1]:[Challenge 50]])</f>
        <v>0</v>
      </c>
      <c r="L89" s="88">
        <f>SUM(Table1678[[#This Row],[Club 1]:[Club 50]])</f>
        <v>0</v>
      </c>
      <c r="M89" s="88">
        <f>SUM(Table1678[[#This Row],[Intra-school sports 1]:[Intra-school sports 50]])</f>
        <v>0</v>
      </c>
      <c r="N89" s="88">
        <f>SUM(Table1678[[#This Row],[Inter School sports 1]:[Inter School sports 50]])</f>
        <v>0</v>
      </c>
      <c r="O89" s="17">
        <f>COUNTIF(Table1678[[#This Row],[Community club (type name of club(s). All clubs will count as ''1'']],"*")</f>
        <v>0</v>
      </c>
      <c r="P89" s="17">
        <f>IF(OR(Table1678[[#This Row],[Total Challenges]]&gt;0,Table1678[[#This Row],[Total Ex-C Clubs]]&gt;0,Table1678[[#This Row],[Total Intra-School Sports]]&gt;0,Table1678[[#This Row],[Total Inter-School Sports]]&gt;0,Table1678[[#This Row],[Community Clubs]]&gt;0),1,0)</f>
        <v>0</v>
      </c>
      <c r="Q89" s="22"/>
      <c r="R89" s="22"/>
      <c r="S89" s="22"/>
      <c r="T89" s="22"/>
      <c r="U89" s="22"/>
      <c r="V89" s="22"/>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21"/>
    </row>
    <row r="90" spans="1:218" x14ac:dyDescent="0.25">
      <c r="A90" s="22"/>
      <c r="B90" s="22"/>
      <c r="C90" s="22"/>
      <c r="D90" s="22"/>
      <c r="E90" s="22"/>
      <c r="F90" s="22"/>
      <c r="G90" s="22"/>
      <c r="H90" s="22"/>
      <c r="I90" s="22"/>
      <c r="J90" s="22"/>
      <c r="K90" s="17">
        <f>SUM(Table1678[[#This Row],[Challenge 1]:[Challenge 50]])</f>
        <v>0</v>
      </c>
      <c r="L90" s="88">
        <f>SUM(Table1678[[#This Row],[Club 1]:[Club 50]])</f>
        <v>0</v>
      </c>
      <c r="M90" s="88">
        <f>SUM(Table1678[[#This Row],[Intra-school sports 1]:[Intra-school sports 50]])</f>
        <v>0</v>
      </c>
      <c r="N90" s="88">
        <f>SUM(Table1678[[#This Row],[Inter School sports 1]:[Inter School sports 50]])</f>
        <v>0</v>
      </c>
      <c r="O90" s="17">
        <f>COUNTIF(Table1678[[#This Row],[Community club (type name of club(s). All clubs will count as ''1'']],"*")</f>
        <v>0</v>
      </c>
      <c r="P90" s="17">
        <f>IF(OR(Table1678[[#This Row],[Total Challenges]]&gt;0,Table1678[[#This Row],[Total Ex-C Clubs]]&gt;0,Table1678[[#This Row],[Total Intra-School Sports]]&gt;0,Table1678[[#This Row],[Total Inter-School Sports]]&gt;0,Table1678[[#This Row],[Community Clubs]]&gt;0),1,0)</f>
        <v>0</v>
      </c>
      <c r="Q90" s="22"/>
      <c r="R90" s="22"/>
      <c r="S90" s="22"/>
      <c r="T90" s="22"/>
      <c r="U90" s="22"/>
      <c r="V90" s="22"/>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21"/>
    </row>
    <row r="91" spans="1:218" x14ac:dyDescent="0.25">
      <c r="A91" s="22"/>
      <c r="B91" s="22"/>
      <c r="C91" s="22"/>
      <c r="D91" s="22"/>
      <c r="E91" s="22"/>
      <c r="F91" s="22"/>
      <c r="G91" s="22"/>
      <c r="H91" s="22"/>
      <c r="I91" s="22"/>
      <c r="J91" s="22"/>
      <c r="K91" s="17">
        <f>SUM(Table1678[[#This Row],[Challenge 1]:[Challenge 50]])</f>
        <v>0</v>
      </c>
      <c r="L91" s="88">
        <f>SUM(Table1678[[#This Row],[Club 1]:[Club 50]])</f>
        <v>0</v>
      </c>
      <c r="M91" s="88">
        <f>SUM(Table1678[[#This Row],[Intra-school sports 1]:[Intra-school sports 50]])</f>
        <v>0</v>
      </c>
      <c r="N91" s="88">
        <f>SUM(Table1678[[#This Row],[Inter School sports 1]:[Inter School sports 50]])</f>
        <v>0</v>
      </c>
      <c r="O91" s="17">
        <f>COUNTIF(Table1678[[#This Row],[Community club (type name of club(s). All clubs will count as ''1'']],"*")</f>
        <v>0</v>
      </c>
      <c r="P91" s="17">
        <f>IF(OR(Table1678[[#This Row],[Total Challenges]]&gt;0,Table1678[[#This Row],[Total Ex-C Clubs]]&gt;0,Table1678[[#This Row],[Total Intra-School Sports]]&gt;0,Table1678[[#This Row],[Total Inter-School Sports]]&gt;0,Table1678[[#This Row],[Community Clubs]]&gt;0),1,0)</f>
        <v>0</v>
      </c>
      <c r="Q91" s="22"/>
      <c r="R91" s="22"/>
      <c r="S91" s="22"/>
      <c r="T91" s="22"/>
      <c r="U91" s="22"/>
      <c r="V91" s="22"/>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21"/>
    </row>
    <row r="92" spans="1:218" x14ac:dyDescent="0.25">
      <c r="A92" s="17"/>
      <c r="B92" s="17"/>
      <c r="C92" s="17"/>
      <c r="D92" s="17"/>
      <c r="E92" s="17"/>
      <c r="F92" s="17"/>
      <c r="G92" s="17"/>
      <c r="H92" s="17"/>
      <c r="I92" s="17"/>
      <c r="J92" s="17"/>
      <c r="K92" s="17">
        <f>SUM(Table1678[[#This Row],[Challenge 1]:[Challenge 50]])</f>
        <v>0</v>
      </c>
      <c r="L92" s="88">
        <f>SUM(Table1678[[#This Row],[Club 1]:[Club 50]])</f>
        <v>0</v>
      </c>
      <c r="M92" s="88">
        <f>SUM(Table1678[[#This Row],[Intra-school sports 1]:[Intra-school sports 50]])</f>
        <v>0</v>
      </c>
      <c r="N92" s="88">
        <f>SUM(Table1678[[#This Row],[Inter School sports 1]:[Inter School sports 50]])</f>
        <v>0</v>
      </c>
      <c r="O92" s="17">
        <f>COUNTIF(Table1678[[#This Row],[Community club (type name of club(s). All clubs will count as ''1'']],"*")</f>
        <v>0</v>
      </c>
      <c r="P92" s="17">
        <f>IF(OR(Table1678[[#This Row],[Total Challenges]]&gt;0,Table1678[[#This Row],[Total Ex-C Clubs]]&gt;0,Table1678[[#This Row],[Total Intra-School Sports]]&gt;0,Table1678[[#This Row],[Total Inter-School Sports]]&gt;0,Table1678[[#This Row],[Community Clubs]]&gt;0),1,0)</f>
        <v>0</v>
      </c>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21"/>
    </row>
    <row r="93" spans="1:218" x14ac:dyDescent="0.25">
      <c r="A93" s="17"/>
      <c r="B93" s="17"/>
      <c r="C93" s="17"/>
      <c r="D93" s="17"/>
      <c r="E93" s="17"/>
      <c r="F93" s="17"/>
      <c r="G93" s="17"/>
      <c r="H93" s="17"/>
      <c r="I93" s="17"/>
      <c r="J93" s="17"/>
      <c r="K93" s="17">
        <f>SUM(Table1678[[#This Row],[Challenge 1]:[Challenge 50]])</f>
        <v>0</v>
      </c>
      <c r="L93" s="88">
        <f>SUM(Table1678[[#This Row],[Club 1]:[Club 50]])</f>
        <v>0</v>
      </c>
      <c r="M93" s="88">
        <f>SUM(Table1678[[#This Row],[Intra-school sports 1]:[Intra-school sports 50]])</f>
        <v>0</v>
      </c>
      <c r="N93" s="88">
        <f>SUM(Table1678[[#This Row],[Inter School sports 1]:[Inter School sports 50]])</f>
        <v>0</v>
      </c>
      <c r="O93" s="17">
        <f>COUNTIF(Table1678[[#This Row],[Community club (type name of club(s). All clubs will count as ''1'']],"*")</f>
        <v>0</v>
      </c>
      <c r="P93" s="17">
        <f>IF(OR(Table1678[[#This Row],[Total Challenges]]&gt;0,Table1678[[#This Row],[Total Ex-C Clubs]]&gt;0,Table1678[[#This Row],[Total Intra-School Sports]]&gt;0,Table1678[[#This Row],[Total Inter-School Sports]]&gt;0,Table1678[[#This Row],[Community Clubs]]&gt;0),1,0)</f>
        <v>0</v>
      </c>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21"/>
    </row>
    <row r="94" spans="1:218" x14ac:dyDescent="0.25">
      <c r="A94" s="17"/>
      <c r="B94" s="17"/>
      <c r="C94" s="17"/>
      <c r="D94" s="17"/>
      <c r="E94" s="17"/>
      <c r="F94" s="17"/>
      <c r="G94" s="17"/>
      <c r="H94" s="17"/>
      <c r="I94" s="17"/>
      <c r="J94" s="17"/>
      <c r="K94" s="17">
        <f>SUM(Table1678[[#This Row],[Challenge 1]:[Challenge 50]])</f>
        <v>0</v>
      </c>
      <c r="L94" s="88">
        <f>SUM(Table1678[[#This Row],[Club 1]:[Club 50]])</f>
        <v>0</v>
      </c>
      <c r="M94" s="88">
        <f>SUM(Table1678[[#This Row],[Intra-school sports 1]:[Intra-school sports 50]])</f>
        <v>0</v>
      </c>
      <c r="N94" s="88">
        <f>SUM(Table1678[[#This Row],[Inter School sports 1]:[Inter School sports 50]])</f>
        <v>0</v>
      </c>
      <c r="O94" s="17">
        <f>COUNTIF(Table1678[[#This Row],[Community club (type name of club(s). All clubs will count as ''1'']],"*")</f>
        <v>0</v>
      </c>
      <c r="P94" s="17">
        <f>IF(OR(Table1678[[#This Row],[Total Challenges]]&gt;0,Table1678[[#This Row],[Total Ex-C Clubs]]&gt;0,Table1678[[#This Row],[Total Intra-School Sports]]&gt;0,Table1678[[#This Row],[Total Inter-School Sports]]&gt;0,Table1678[[#This Row],[Community Clubs]]&gt;0),1,0)</f>
        <v>0</v>
      </c>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21"/>
    </row>
    <row r="95" spans="1:218" x14ac:dyDescent="0.25">
      <c r="A95" s="17"/>
      <c r="B95" s="17"/>
      <c r="C95" s="17"/>
      <c r="D95" s="17"/>
      <c r="E95" s="17"/>
      <c r="F95" s="17"/>
      <c r="G95" s="17"/>
      <c r="H95" s="17"/>
      <c r="I95" s="17"/>
      <c r="J95" s="17"/>
      <c r="K95" s="17">
        <f>SUM(Table1678[[#This Row],[Challenge 1]:[Challenge 50]])</f>
        <v>0</v>
      </c>
      <c r="L95" s="88">
        <f>SUM(Table1678[[#This Row],[Club 1]:[Club 50]])</f>
        <v>0</v>
      </c>
      <c r="M95" s="88">
        <f>SUM(Table1678[[#This Row],[Intra-school sports 1]:[Intra-school sports 50]])</f>
        <v>0</v>
      </c>
      <c r="N95" s="88">
        <f>SUM(Table1678[[#This Row],[Inter School sports 1]:[Inter School sports 50]])</f>
        <v>0</v>
      </c>
      <c r="O95" s="17">
        <f>COUNTIF(Table1678[[#This Row],[Community club (type name of club(s). All clubs will count as ''1'']],"*")</f>
        <v>0</v>
      </c>
      <c r="P95" s="17">
        <f>IF(OR(Table1678[[#This Row],[Total Challenges]]&gt;0,Table1678[[#This Row],[Total Ex-C Clubs]]&gt;0,Table1678[[#This Row],[Total Intra-School Sports]]&gt;0,Table1678[[#This Row],[Total Inter-School Sports]]&gt;0,Table1678[[#This Row],[Community Clubs]]&gt;0),1,0)</f>
        <v>0</v>
      </c>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21"/>
    </row>
    <row r="96" spans="1:218" x14ac:dyDescent="0.25">
      <c r="A96" s="17"/>
      <c r="B96" s="17"/>
      <c r="C96" s="17"/>
      <c r="D96" s="17"/>
      <c r="E96" s="17"/>
      <c r="F96" s="17"/>
      <c r="G96" s="17"/>
      <c r="H96" s="17"/>
      <c r="I96" s="17"/>
      <c r="J96" s="17"/>
      <c r="K96" s="17">
        <f>SUM(Table1678[[#This Row],[Challenge 1]:[Challenge 50]])</f>
        <v>0</v>
      </c>
      <c r="L96" s="88">
        <f>SUM(Table1678[[#This Row],[Club 1]:[Club 50]])</f>
        <v>0</v>
      </c>
      <c r="M96" s="88">
        <f>SUM(Table1678[[#This Row],[Intra-school sports 1]:[Intra-school sports 50]])</f>
        <v>0</v>
      </c>
      <c r="N96" s="88">
        <f>SUM(Table1678[[#This Row],[Inter School sports 1]:[Inter School sports 50]])</f>
        <v>0</v>
      </c>
      <c r="O96" s="17">
        <f>COUNTIF(Table1678[[#This Row],[Community club (type name of club(s). All clubs will count as ''1'']],"*")</f>
        <v>0</v>
      </c>
      <c r="P96" s="17">
        <f>IF(OR(Table1678[[#This Row],[Total Challenges]]&gt;0,Table1678[[#This Row],[Total Ex-C Clubs]]&gt;0,Table1678[[#This Row],[Total Intra-School Sports]]&gt;0,Table1678[[#This Row],[Total Inter-School Sports]]&gt;0,Table1678[[#This Row],[Community Clubs]]&gt;0),1,0)</f>
        <v>0</v>
      </c>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21"/>
    </row>
    <row r="97" spans="1:218" x14ac:dyDescent="0.25">
      <c r="A97" s="17"/>
      <c r="B97" s="17"/>
      <c r="C97" s="17"/>
      <c r="D97" s="17"/>
      <c r="E97" s="17"/>
      <c r="F97" s="17"/>
      <c r="G97" s="17"/>
      <c r="H97" s="17"/>
      <c r="I97" s="17"/>
      <c r="J97" s="17"/>
      <c r="K97" s="17">
        <f>SUM(Table1678[[#This Row],[Challenge 1]:[Challenge 50]])</f>
        <v>0</v>
      </c>
      <c r="L97" s="88">
        <f>SUM(Table1678[[#This Row],[Club 1]:[Club 50]])</f>
        <v>0</v>
      </c>
      <c r="M97" s="88">
        <f>SUM(Table1678[[#This Row],[Intra-school sports 1]:[Intra-school sports 50]])</f>
        <v>0</v>
      </c>
      <c r="N97" s="88">
        <f>SUM(Table1678[[#This Row],[Inter School sports 1]:[Inter School sports 50]])</f>
        <v>0</v>
      </c>
      <c r="O97" s="17">
        <f>COUNTIF(Table1678[[#This Row],[Community club (type name of club(s). All clubs will count as ''1'']],"*")</f>
        <v>0</v>
      </c>
      <c r="P97" s="17">
        <f>IF(OR(Table1678[[#This Row],[Total Challenges]]&gt;0,Table1678[[#This Row],[Total Ex-C Clubs]]&gt;0,Table1678[[#This Row],[Total Intra-School Sports]]&gt;0,Table1678[[#This Row],[Total Inter-School Sports]]&gt;0,Table1678[[#This Row],[Community Clubs]]&gt;0),1,0)</f>
        <v>0</v>
      </c>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21"/>
    </row>
    <row r="98" spans="1:218" x14ac:dyDescent="0.25">
      <c r="A98" s="17"/>
      <c r="B98" s="17"/>
      <c r="C98" s="17"/>
      <c r="D98" s="17"/>
      <c r="E98" s="17"/>
      <c r="F98" s="17"/>
      <c r="G98" s="17"/>
      <c r="H98" s="17"/>
      <c r="I98" s="17"/>
      <c r="J98" s="17"/>
      <c r="K98" s="17">
        <f>SUM(Table1678[[#This Row],[Challenge 1]:[Challenge 50]])</f>
        <v>0</v>
      </c>
      <c r="L98" s="88">
        <f>SUM(Table1678[[#This Row],[Club 1]:[Club 50]])</f>
        <v>0</v>
      </c>
      <c r="M98" s="88">
        <f>SUM(Table1678[[#This Row],[Intra-school sports 1]:[Intra-school sports 50]])</f>
        <v>0</v>
      </c>
      <c r="N98" s="88">
        <f>SUM(Table1678[[#This Row],[Inter School sports 1]:[Inter School sports 50]])</f>
        <v>0</v>
      </c>
      <c r="O98" s="17">
        <f>COUNTIF(Table1678[[#This Row],[Community club (type name of club(s). All clubs will count as ''1'']],"*")</f>
        <v>0</v>
      </c>
      <c r="P98" s="17">
        <f>IF(OR(Table1678[[#This Row],[Total Challenges]]&gt;0,Table1678[[#This Row],[Total Ex-C Clubs]]&gt;0,Table1678[[#This Row],[Total Intra-School Sports]]&gt;0,Table1678[[#This Row],[Total Inter-School Sports]]&gt;0,Table1678[[#This Row],[Community Clubs]]&gt;0),1,0)</f>
        <v>0</v>
      </c>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21"/>
    </row>
    <row r="99" spans="1:218" x14ac:dyDescent="0.25">
      <c r="A99" s="17"/>
      <c r="B99" s="17"/>
      <c r="C99" s="17"/>
      <c r="D99" s="17"/>
      <c r="E99" s="17"/>
      <c r="F99" s="17"/>
      <c r="G99" s="17"/>
      <c r="H99" s="17"/>
      <c r="I99" s="17"/>
      <c r="J99" s="17"/>
      <c r="K99" s="17">
        <f>SUM(Table1678[[#This Row],[Challenge 1]:[Challenge 50]])</f>
        <v>0</v>
      </c>
      <c r="L99" s="88">
        <f>SUM(Table1678[[#This Row],[Club 1]:[Club 50]])</f>
        <v>0</v>
      </c>
      <c r="M99" s="88">
        <f>SUM(Table1678[[#This Row],[Intra-school sports 1]:[Intra-school sports 50]])</f>
        <v>0</v>
      </c>
      <c r="N99" s="88">
        <f>SUM(Table1678[[#This Row],[Inter School sports 1]:[Inter School sports 50]])</f>
        <v>0</v>
      </c>
      <c r="O99" s="17">
        <f>COUNTIF(Table1678[[#This Row],[Community club (type name of club(s). All clubs will count as ''1'']],"*")</f>
        <v>0</v>
      </c>
      <c r="P99" s="17">
        <f>IF(OR(Table1678[[#This Row],[Total Challenges]]&gt;0,Table1678[[#This Row],[Total Ex-C Clubs]]&gt;0,Table1678[[#This Row],[Total Intra-School Sports]]&gt;0,Table1678[[#This Row],[Total Inter-School Sports]]&gt;0,Table1678[[#This Row],[Community Clubs]]&gt;0),1,0)</f>
        <v>0</v>
      </c>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21"/>
    </row>
    <row r="100" spans="1:218" x14ac:dyDescent="0.25">
      <c r="A100" s="17"/>
      <c r="B100" s="17"/>
      <c r="C100" s="17"/>
      <c r="D100" s="17"/>
      <c r="E100" s="17"/>
      <c r="F100" s="17"/>
      <c r="G100" s="17"/>
      <c r="H100" s="17"/>
      <c r="I100" s="17"/>
      <c r="J100" s="17"/>
      <c r="K100" s="17">
        <f>SUM(Table1678[[#This Row],[Challenge 1]:[Challenge 50]])</f>
        <v>0</v>
      </c>
      <c r="L100" s="88">
        <f>SUM(Table1678[[#This Row],[Club 1]:[Club 50]])</f>
        <v>0</v>
      </c>
      <c r="M100" s="88">
        <f>SUM(Table1678[[#This Row],[Intra-school sports 1]:[Intra-school sports 50]])</f>
        <v>0</v>
      </c>
      <c r="N100" s="88">
        <f>SUM(Table1678[[#This Row],[Inter School sports 1]:[Inter School sports 50]])</f>
        <v>0</v>
      </c>
      <c r="O100" s="17">
        <f>COUNTIF(Table1678[[#This Row],[Community club (type name of club(s). All clubs will count as ''1'']],"*")</f>
        <v>0</v>
      </c>
      <c r="P100" s="17">
        <f>IF(OR(Table1678[[#This Row],[Total Challenges]]&gt;0,Table1678[[#This Row],[Total Ex-C Clubs]]&gt;0,Table1678[[#This Row],[Total Intra-School Sports]]&gt;0,Table1678[[#This Row],[Total Inter-School Sports]]&gt;0,Table1678[[#This Row],[Community Clubs]]&gt;0),1,0)</f>
        <v>0</v>
      </c>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21"/>
    </row>
    <row r="101" spans="1:218" x14ac:dyDescent="0.25">
      <c r="A101" s="17"/>
      <c r="B101" s="17"/>
      <c r="C101" s="17"/>
      <c r="D101" s="17"/>
      <c r="E101" s="17"/>
      <c r="F101" s="17"/>
      <c r="G101" s="17"/>
      <c r="H101" s="17"/>
      <c r="I101" s="17"/>
      <c r="J101" s="17"/>
      <c r="K101" s="17">
        <f>SUM(Table1678[[#This Row],[Challenge 1]:[Challenge 50]])</f>
        <v>0</v>
      </c>
      <c r="L101" s="88">
        <f>SUM(Table1678[[#This Row],[Club 1]:[Club 50]])</f>
        <v>0</v>
      </c>
      <c r="M101" s="88">
        <f>SUM(Table1678[[#This Row],[Intra-school sports 1]:[Intra-school sports 50]])</f>
        <v>0</v>
      </c>
      <c r="N101" s="88">
        <f>SUM(Table1678[[#This Row],[Inter School sports 1]:[Inter School sports 50]])</f>
        <v>0</v>
      </c>
      <c r="O101" s="17">
        <f>COUNTIF(Table1678[[#This Row],[Community club (type name of club(s). All clubs will count as ''1'']],"*")</f>
        <v>0</v>
      </c>
      <c r="P101" s="17">
        <f>IF(OR(Table1678[[#This Row],[Total Challenges]]&gt;0,Table1678[[#This Row],[Total Ex-C Clubs]]&gt;0,Table1678[[#This Row],[Total Intra-School Sports]]&gt;0,Table1678[[#This Row],[Total Inter-School Sports]]&gt;0,Table1678[[#This Row],[Community Clubs]]&gt;0),1,0)</f>
        <v>0</v>
      </c>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21"/>
    </row>
    <row r="102" spans="1:218" x14ac:dyDescent="0.25">
      <c r="A102" s="17"/>
      <c r="B102" s="17"/>
      <c r="C102" s="17"/>
      <c r="D102" s="17"/>
      <c r="E102" s="17"/>
      <c r="F102" s="17"/>
      <c r="G102" s="17"/>
      <c r="H102" s="17"/>
      <c r="I102" s="17"/>
      <c r="J102" s="17"/>
      <c r="K102" s="17">
        <f>SUM(Table1678[[#This Row],[Challenge 1]:[Challenge 50]])</f>
        <v>0</v>
      </c>
      <c r="L102" s="88">
        <f>SUM(Table1678[[#This Row],[Club 1]:[Club 50]])</f>
        <v>0</v>
      </c>
      <c r="M102" s="88">
        <f>SUM(Table1678[[#This Row],[Intra-school sports 1]:[Intra-school sports 50]])</f>
        <v>0</v>
      </c>
      <c r="N102" s="88">
        <f>SUM(Table1678[[#This Row],[Inter School sports 1]:[Inter School sports 50]])</f>
        <v>0</v>
      </c>
      <c r="O102" s="17">
        <f>COUNTIF(Table1678[[#This Row],[Community club (type name of club(s). All clubs will count as ''1'']],"*")</f>
        <v>0</v>
      </c>
      <c r="P102" s="17">
        <f>IF(OR(Table1678[[#This Row],[Total Challenges]]&gt;0,Table1678[[#This Row],[Total Ex-C Clubs]]&gt;0,Table1678[[#This Row],[Total Intra-School Sports]]&gt;0,Table1678[[#This Row],[Total Inter-School Sports]]&gt;0,Table1678[[#This Row],[Community Clubs]]&gt;0),1,0)</f>
        <v>0</v>
      </c>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21"/>
    </row>
    <row r="103" spans="1:218" x14ac:dyDescent="0.25">
      <c r="A103" s="17"/>
      <c r="B103" s="17"/>
      <c r="C103" s="17"/>
      <c r="D103" s="17"/>
      <c r="E103" s="17"/>
      <c r="F103" s="17"/>
      <c r="G103" s="17"/>
      <c r="H103" s="17"/>
      <c r="I103" s="17"/>
      <c r="J103" s="17"/>
      <c r="K103" s="17">
        <f>SUM(Table1678[[#This Row],[Challenge 1]:[Challenge 50]])</f>
        <v>0</v>
      </c>
      <c r="L103" s="88">
        <f>SUM(Table1678[[#This Row],[Club 1]:[Club 50]])</f>
        <v>0</v>
      </c>
      <c r="M103" s="88">
        <f>SUM(Table1678[[#This Row],[Intra-school sports 1]:[Intra-school sports 50]])</f>
        <v>0</v>
      </c>
      <c r="N103" s="88">
        <f>SUM(Table1678[[#This Row],[Inter School sports 1]:[Inter School sports 50]])</f>
        <v>0</v>
      </c>
      <c r="O103" s="17">
        <f>COUNTIF(Table1678[[#This Row],[Community club (type name of club(s). All clubs will count as ''1'']],"*")</f>
        <v>0</v>
      </c>
      <c r="P103" s="17">
        <f>IF(OR(Table1678[[#This Row],[Total Challenges]]&gt;0,Table1678[[#This Row],[Total Ex-C Clubs]]&gt;0,Table1678[[#This Row],[Total Intra-School Sports]]&gt;0,Table1678[[#This Row],[Total Inter-School Sports]]&gt;0,Table1678[[#This Row],[Community Clubs]]&gt;0),1,0)</f>
        <v>0</v>
      </c>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21"/>
    </row>
    <row r="104" spans="1:218" x14ac:dyDescent="0.25">
      <c r="A104" s="17"/>
      <c r="B104" s="17"/>
      <c r="C104" s="17"/>
      <c r="D104" s="17"/>
      <c r="E104" s="17"/>
      <c r="F104" s="17"/>
      <c r="G104" s="17"/>
      <c r="H104" s="17"/>
      <c r="I104" s="17"/>
      <c r="J104" s="17"/>
      <c r="K104" s="17">
        <f>SUM(Table1678[[#This Row],[Challenge 1]:[Challenge 50]])</f>
        <v>0</v>
      </c>
      <c r="L104" s="88">
        <f>SUM(Table1678[[#This Row],[Club 1]:[Club 50]])</f>
        <v>0</v>
      </c>
      <c r="M104" s="88">
        <f>SUM(Table1678[[#This Row],[Intra-school sports 1]:[Intra-school sports 50]])</f>
        <v>0</v>
      </c>
      <c r="N104" s="88">
        <f>SUM(Table1678[[#This Row],[Inter School sports 1]:[Inter School sports 50]])</f>
        <v>0</v>
      </c>
      <c r="O104" s="17">
        <f>COUNTIF(Table1678[[#This Row],[Community club (type name of club(s). All clubs will count as ''1'']],"*")</f>
        <v>0</v>
      </c>
      <c r="P104" s="17">
        <f>IF(OR(Table1678[[#This Row],[Total Challenges]]&gt;0,Table1678[[#This Row],[Total Ex-C Clubs]]&gt;0,Table1678[[#This Row],[Total Intra-School Sports]]&gt;0,Table1678[[#This Row],[Total Inter-School Sports]]&gt;0,Table1678[[#This Row],[Community Clubs]]&gt;0),1,0)</f>
        <v>0</v>
      </c>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21"/>
    </row>
    <row r="105" spans="1:218" x14ac:dyDescent="0.25">
      <c r="A105" s="17"/>
      <c r="B105" s="17"/>
      <c r="C105" s="17"/>
      <c r="D105" s="17"/>
      <c r="E105" s="17"/>
      <c r="F105" s="17"/>
      <c r="G105" s="17"/>
      <c r="H105" s="17"/>
      <c r="I105" s="17"/>
      <c r="J105" s="17"/>
      <c r="K105" s="17">
        <f>SUM(Table1678[[#This Row],[Challenge 1]:[Challenge 50]])</f>
        <v>0</v>
      </c>
      <c r="L105" s="88">
        <f>SUM(Table1678[[#This Row],[Club 1]:[Club 50]])</f>
        <v>0</v>
      </c>
      <c r="M105" s="88">
        <f>SUM(Table1678[[#This Row],[Intra-school sports 1]:[Intra-school sports 50]])</f>
        <v>0</v>
      </c>
      <c r="N105" s="88">
        <f>SUM(Table1678[[#This Row],[Inter School sports 1]:[Inter School sports 50]])</f>
        <v>0</v>
      </c>
      <c r="O105" s="17">
        <f>COUNTIF(Table1678[[#This Row],[Community club (type name of club(s). All clubs will count as ''1'']],"*")</f>
        <v>0</v>
      </c>
      <c r="P105" s="17">
        <f>IF(OR(Table1678[[#This Row],[Total Challenges]]&gt;0,Table1678[[#This Row],[Total Ex-C Clubs]]&gt;0,Table1678[[#This Row],[Total Intra-School Sports]]&gt;0,Table1678[[#This Row],[Total Inter-School Sports]]&gt;0,Table1678[[#This Row],[Community Clubs]]&gt;0),1,0)</f>
        <v>0</v>
      </c>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21"/>
    </row>
    <row r="106" spans="1:218" x14ac:dyDescent="0.25">
      <c r="A106" s="17"/>
      <c r="B106" s="17"/>
      <c r="C106" s="17"/>
      <c r="D106" s="17"/>
      <c r="E106" s="17"/>
      <c r="F106" s="17"/>
      <c r="G106" s="17"/>
      <c r="H106" s="17"/>
      <c r="I106" s="17"/>
      <c r="J106" s="17"/>
      <c r="K106" s="17">
        <f>SUM(Table1678[[#This Row],[Challenge 1]:[Challenge 50]])</f>
        <v>0</v>
      </c>
      <c r="L106" s="88">
        <f>SUM(Table1678[[#This Row],[Club 1]:[Club 50]])</f>
        <v>0</v>
      </c>
      <c r="M106" s="88">
        <f>SUM(Table1678[[#This Row],[Intra-school sports 1]:[Intra-school sports 50]])</f>
        <v>0</v>
      </c>
      <c r="N106" s="88">
        <f>SUM(Table1678[[#This Row],[Inter School sports 1]:[Inter School sports 50]])</f>
        <v>0</v>
      </c>
      <c r="O106" s="17">
        <f>COUNTIF(Table1678[[#This Row],[Community club (type name of club(s). All clubs will count as ''1'']],"*")</f>
        <v>0</v>
      </c>
      <c r="P106" s="17">
        <f>IF(OR(Table1678[[#This Row],[Total Challenges]]&gt;0,Table1678[[#This Row],[Total Ex-C Clubs]]&gt;0,Table1678[[#This Row],[Total Intra-School Sports]]&gt;0,Table1678[[#This Row],[Total Inter-School Sports]]&gt;0,Table1678[[#This Row],[Community Clubs]]&gt;0),1,0)</f>
        <v>0</v>
      </c>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21"/>
    </row>
    <row r="107" spans="1:218" x14ac:dyDescent="0.25">
      <c r="A107" s="17"/>
      <c r="B107" s="17"/>
      <c r="C107" s="17"/>
      <c r="D107" s="17"/>
      <c r="E107" s="17"/>
      <c r="F107" s="17"/>
      <c r="G107" s="17"/>
      <c r="H107" s="17"/>
      <c r="I107" s="17"/>
      <c r="J107" s="17"/>
      <c r="K107" s="17">
        <f>SUM(Table1678[[#This Row],[Challenge 1]:[Challenge 50]])</f>
        <v>0</v>
      </c>
      <c r="L107" s="88">
        <f>SUM(Table1678[[#This Row],[Club 1]:[Club 50]])</f>
        <v>0</v>
      </c>
      <c r="M107" s="88">
        <f>SUM(Table1678[[#This Row],[Intra-school sports 1]:[Intra-school sports 50]])</f>
        <v>0</v>
      </c>
      <c r="N107" s="88">
        <f>SUM(Table1678[[#This Row],[Inter School sports 1]:[Inter School sports 50]])</f>
        <v>0</v>
      </c>
      <c r="O107" s="17">
        <f>COUNTIF(Table1678[[#This Row],[Community club (type name of club(s). All clubs will count as ''1'']],"*")</f>
        <v>0</v>
      </c>
      <c r="P107" s="17">
        <f>IF(OR(Table1678[[#This Row],[Total Challenges]]&gt;0,Table1678[[#This Row],[Total Ex-C Clubs]]&gt;0,Table1678[[#This Row],[Total Intra-School Sports]]&gt;0,Table1678[[#This Row],[Total Inter-School Sports]]&gt;0,Table1678[[#This Row],[Community Clubs]]&gt;0),1,0)</f>
        <v>0</v>
      </c>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21"/>
    </row>
    <row r="108" spans="1:218" x14ac:dyDescent="0.25">
      <c r="A108" s="17"/>
      <c r="B108" s="17"/>
      <c r="C108" s="17"/>
      <c r="D108" s="17"/>
      <c r="E108" s="17"/>
      <c r="F108" s="17"/>
      <c r="G108" s="17"/>
      <c r="H108" s="17"/>
      <c r="I108" s="17"/>
      <c r="J108" s="17"/>
      <c r="K108" s="17">
        <f>SUM(Table1678[[#This Row],[Challenge 1]:[Challenge 50]])</f>
        <v>0</v>
      </c>
      <c r="L108" s="88">
        <f>SUM(Table1678[[#This Row],[Club 1]:[Club 50]])</f>
        <v>0</v>
      </c>
      <c r="M108" s="88">
        <f>SUM(Table1678[[#This Row],[Intra-school sports 1]:[Intra-school sports 50]])</f>
        <v>0</v>
      </c>
      <c r="N108" s="88">
        <f>SUM(Table1678[[#This Row],[Inter School sports 1]:[Inter School sports 50]])</f>
        <v>0</v>
      </c>
      <c r="O108" s="17">
        <f>COUNTIF(Table1678[[#This Row],[Community club (type name of club(s). All clubs will count as ''1'']],"*")</f>
        <v>0</v>
      </c>
      <c r="P108" s="17">
        <f>IF(OR(Table1678[[#This Row],[Total Challenges]]&gt;0,Table1678[[#This Row],[Total Ex-C Clubs]]&gt;0,Table1678[[#This Row],[Total Intra-School Sports]]&gt;0,Table1678[[#This Row],[Total Inter-School Sports]]&gt;0,Table1678[[#This Row],[Community Clubs]]&gt;0),1,0)</f>
        <v>0</v>
      </c>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21"/>
    </row>
    <row r="109" spans="1:218" x14ac:dyDescent="0.25">
      <c r="A109" s="17"/>
      <c r="B109" s="17"/>
      <c r="C109" s="17"/>
      <c r="D109" s="17"/>
      <c r="E109" s="17"/>
      <c r="F109" s="17"/>
      <c r="G109" s="17"/>
      <c r="H109" s="17"/>
      <c r="I109" s="17"/>
      <c r="J109" s="17"/>
      <c r="K109" s="17">
        <f>SUM(Table1678[[#This Row],[Challenge 1]:[Challenge 50]])</f>
        <v>0</v>
      </c>
      <c r="L109" s="88">
        <f>SUM(Table1678[[#This Row],[Club 1]:[Club 50]])</f>
        <v>0</v>
      </c>
      <c r="M109" s="88">
        <f>SUM(Table1678[[#This Row],[Intra-school sports 1]:[Intra-school sports 50]])</f>
        <v>0</v>
      </c>
      <c r="N109" s="88">
        <f>SUM(Table1678[[#This Row],[Inter School sports 1]:[Inter School sports 50]])</f>
        <v>0</v>
      </c>
      <c r="O109" s="17">
        <f>COUNTIF(Table1678[[#This Row],[Community club (type name of club(s). All clubs will count as ''1'']],"*")</f>
        <v>0</v>
      </c>
      <c r="P109" s="17">
        <f>IF(OR(Table1678[[#This Row],[Total Challenges]]&gt;0,Table1678[[#This Row],[Total Ex-C Clubs]]&gt;0,Table1678[[#This Row],[Total Intra-School Sports]]&gt;0,Table1678[[#This Row],[Total Inter-School Sports]]&gt;0,Table1678[[#This Row],[Community Clubs]]&gt;0),1,0)</f>
        <v>0</v>
      </c>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21"/>
    </row>
    <row r="110" spans="1:218" x14ac:dyDescent="0.25">
      <c r="A110" s="17"/>
      <c r="B110" s="17"/>
      <c r="C110" s="17"/>
      <c r="D110" s="17"/>
      <c r="E110" s="17"/>
      <c r="F110" s="17"/>
      <c r="G110" s="17"/>
      <c r="H110" s="17"/>
      <c r="I110" s="17"/>
      <c r="J110" s="17"/>
      <c r="K110" s="17">
        <f>SUM(Table1678[[#This Row],[Challenge 1]:[Challenge 50]])</f>
        <v>0</v>
      </c>
      <c r="L110" s="88">
        <f>SUM(Table1678[[#This Row],[Club 1]:[Club 50]])</f>
        <v>0</v>
      </c>
      <c r="M110" s="88">
        <f>SUM(Table1678[[#This Row],[Intra-school sports 1]:[Intra-school sports 50]])</f>
        <v>0</v>
      </c>
      <c r="N110" s="88">
        <f>SUM(Table1678[[#This Row],[Inter School sports 1]:[Inter School sports 50]])</f>
        <v>0</v>
      </c>
      <c r="O110" s="17">
        <f>COUNTIF(Table1678[[#This Row],[Community club (type name of club(s). All clubs will count as ''1'']],"*")</f>
        <v>0</v>
      </c>
      <c r="P110" s="17">
        <f>IF(OR(Table1678[[#This Row],[Total Challenges]]&gt;0,Table1678[[#This Row],[Total Ex-C Clubs]]&gt;0,Table1678[[#This Row],[Total Intra-School Sports]]&gt;0,Table1678[[#This Row],[Total Inter-School Sports]]&gt;0,Table1678[[#This Row],[Community Clubs]]&gt;0),1,0)</f>
        <v>0</v>
      </c>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21"/>
    </row>
    <row r="111" spans="1:218" x14ac:dyDescent="0.25">
      <c r="A111" s="17"/>
      <c r="B111" s="17"/>
      <c r="C111" s="17"/>
      <c r="D111" s="17"/>
      <c r="E111" s="17"/>
      <c r="F111" s="17"/>
      <c r="G111" s="17"/>
      <c r="H111" s="17"/>
      <c r="I111" s="17"/>
      <c r="J111" s="17"/>
      <c r="K111" s="17">
        <f>SUM(Table1678[[#This Row],[Challenge 1]:[Challenge 50]])</f>
        <v>0</v>
      </c>
      <c r="L111" s="88">
        <f>SUM(Table1678[[#This Row],[Club 1]:[Club 50]])</f>
        <v>0</v>
      </c>
      <c r="M111" s="88">
        <f>SUM(Table1678[[#This Row],[Intra-school sports 1]:[Intra-school sports 50]])</f>
        <v>0</v>
      </c>
      <c r="N111" s="88">
        <f>SUM(Table1678[[#This Row],[Inter School sports 1]:[Inter School sports 50]])</f>
        <v>0</v>
      </c>
      <c r="O111" s="17">
        <f>COUNTIF(Table1678[[#This Row],[Community club (type name of club(s). All clubs will count as ''1'']],"*")</f>
        <v>0</v>
      </c>
      <c r="P111" s="17">
        <f>IF(OR(Table1678[[#This Row],[Total Challenges]]&gt;0,Table1678[[#This Row],[Total Ex-C Clubs]]&gt;0,Table1678[[#This Row],[Total Intra-School Sports]]&gt;0,Table1678[[#This Row],[Total Inter-School Sports]]&gt;0,Table1678[[#This Row],[Community Clubs]]&gt;0),1,0)</f>
        <v>0</v>
      </c>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21"/>
    </row>
    <row r="112" spans="1:218" x14ac:dyDescent="0.25">
      <c r="A112" s="17"/>
      <c r="B112" s="17"/>
      <c r="C112" s="17"/>
      <c r="D112" s="17"/>
      <c r="E112" s="17"/>
      <c r="F112" s="17"/>
      <c r="G112" s="17"/>
      <c r="H112" s="17"/>
      <c r="I112" s="17"/>
      <c r="J112" s="17"/>
      <c r="K112" s="17">
        <f>SUM(Table1678[[#This Row],[Challenge 1]:[Challenge 50]])</f>
        <v>0</v>
      </c>
      <c r="L112" s="88">
        <f>SUM(Table1678[[#This Row],[Club 1]:[Club 50]])</f>
        <v>0</v>
      </c>
      <c r="M112" s="88">
        <f>SUM(Table1678[[#This Row],[Intra-school sports 1]:[Intra-school sports 50]])</f>
        <v>0</v>
      </c>
      <c r="N112" s="88">
        <f>SUM(Table1678[[#This Row],[Inter School sports 1]:[Inter School sports 50]])</f>
        <v>0</v>
      </c>
      <c r="O112" s="17">
        <f>COUNTIF(Table1678[[#This Row],[Community club (type name of club(s). All clubs will count as ''1'']],"*")</f>
        <v>0</v>
      </c>
      <c r="P112" s="17">
        <f>IF(OR(Table1678[[#This Row],[Total Challenges]]&gt;0,Table1678[[#This Row],[Total Ex-C Clubs]]&gt;0,Table1678[[#This Row],[Total Intra-School Sports]]&gt;0,Table1678[[#This Row],[Total Inter-School Sports]]&gt;0,Table1678[[#This Row],[Community Clubs]]&gt;0),1,0)</f>
        <v>0</v>
      </c>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21"/>
    </row>
    <row r="113" spans="1:218" x14ac:dyDescent="0.25">
      <c r="A113" s="17"/>
      <c r="B113" s="17"/>
      <c r="C113" s="17"/>
      <c r="D113" s="17"/>
      <c r="E113" s="17"/>
      <c r="F113" s="17"/>
      <c r="G113" s="17"/>
      <c r="H113" s="17"/>
      <c r="I113" s="17"/>
      <c r="J113" s="17"/>
      <c r="K113" s="17">
        <f>SUM(Table1678[[#This Row],[Challenge 1]:[Challenge 50]])</f>
        <v>0</v>
      </c>
      <c r="L113" s="88">
        <f>SUM(Table1678[[#This Row],[Club 1]:[Club 50]])</f>
        <v>0</v>
      </c>
      <c r="M113" s="88">
        <f>SUM(Table1678[[#This Row],[Intra-school sports 1]:[Intra-school sports 50]])</f>
        <v>0</v>
      </c>
      <c r="N113" s="88">
        <f>SUM(Table1678[[#This Row],[Inter School sports 1]:[Inter School sports 50]])</f>
        <v>0</v>
      </c>
      <c r="O113" s="17">
        <f>COUNTIF(Table1678[[#This Row],[Community club (type name of club(s). All clubs will count as ''1'']],"*")</f>
        <v>0</v>
      </c>
      <c r="P113" s="17">
        <f>IF(OR(Table1678[[#This Row],[Total Challenges]]&gt;0,Table1678[[#This Row],[Total Ex-C Clubs]]&gt;0,Table1678[[#This Row],[Total Intra-School Sports]]&gt;0,Table1678[[#This Row],[Total Inter-School Sports]]&gt;0,Table1678[[#This Row],[Community Clubs]]&gt;0),1,0)</f>
        <v>0</v>
      </c>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21"/>
    </row>
    <row r="114" spans="1:218" x14ac:dyDescent="0.25">
      <c r="A114" s="17"/>
      <c r="B114" s="17"/>
      <c r="C114" s="17"/>
      <c r="D114" s="17"/>
      <c r="E114" s="17"/>
      <c r="F114" s="17"/>
      <c r="G114" s="17"/>
      <c r="H114" s="17"/>
      <c r="I114" s="17"/>
      <c r="J114" s="17"/>
      <c r="K114" s="17">
        <f>SUM(Table1678[[#This Row],[Challenge 1]:[Challenge 50]])</f>
        <v>0</v>
      </c>
      <c r="L114" s="88">
        <f>SUM(Table1678[[#This Row],[Club 1]:[Club 50]])</f>
        <v>0</v>
      </c>
      <c r="M114" s="88">
        <f>SUM(Table1678[[#This Row],[Intra-school sports 1]:[Intra-school sports 50]])</f>
        <v>0</v>
      </c>
      <c r="N114" s="88">
        <f>SUM(Table1678[[#This Row],[Inter School sports 1]:[Inter School sports 50]])</f>
        <v>0</v>
      </c>
      <c r="O114" s="17">
        <f>COUNTIF(Table1678[[#This Row],[Community club (type name of club(s). All clubs will count as ''1'']],"*")</f>
        <v>0</v>
      </c>
      <c r="P114" s="17">
        <f>IF(OR(Table1678[[#This Row],[Total Challenges]]&gt;0,Table1678[[#This Row],[Total Ex-C Clubs]]&gt;0,Table1678[[#This Row],[Total Intra-School Sports]]&gt;0,Table1678[[#This Row],[Total Inter-School Sports]]&gt;0,Table1678[[#This Row],[Community Clubs]]&gt;0),1,0)</f>
        <v>0</v>
      </c>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21"/>
    </row>
    <row r="115" spans="1:218" x14ac:dyDescent="0.25">
      <c r="A115" s="17"/>
      <c r="B115" s="17"/>
      <c r="C115" s="17"/>
      <c r="D115" s="17"/>
      <c r="E115" s="17"/>
      <c r="F115" s="17"/>
      <c r="G115" s="17"/>
      <c r="H115" s="17"/>
      <c r="I115" s="17"/>
      <c r="J115" s="17"/>
      <c r="K115" s="17">
        <f>SUM(Table1678[[#This Row],[Challenge 1]:[Challenge 50]])</f>
        <v>0</v>
      </c>
      <c r="L115" s="88">
        <f>SUM(Table1678[[#This Row],[Club 1]:[Club 50]])</f>
        <v>0</v>
      </c>
      <c r="M115" s="88">
        <f>SUM(Table1678[[#This Row],[Intra-school sports 1]:[Intra-school sports 50]])</f>
        <v>0</v>
      </c>
      <c r="N115" s="88">
        <f>SUM(Table1678[[#This Row],[Inter School sports 1]:[Inter School sports 50]])</f>
        <v>0</v>
      </c>
      <c r="O115" s="17">
        <f>COUNTIF(Table1678[[#This Row],[Community club (type name of club(s). All clubs will count as ''1'']],"*")</f>
        <v>0</v>
      </c>
      <c r="P115" s="17">
        <f>IF(OR(Table1678[[#This Row],[Total Challenges]]&gt;0,Table1678[[#This Row],[Total Ex-C Clubs]]&gt;0,Table1678[[#This Row],[Total Intra-School Sports]]&gt;0,Table1678[[#This Row],[Total Inter-School Sports]]&gt;0,Table1678[[#This Row],[Community Clubs]]&gt;0),1,0)</f>
        <v>0</v>
      </c>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21"/>
    </row>
    <row r="116" spans="1:218" x14ac:dyDescent="0.25">
      <c r="A116" s="17"/>
      <c r="B116" s="17"/>
      <c r="C116" s="17"/>
      <c r="D116" s="17"/>
      <c r="E116" s="17"/>
      <c r="F116" s="17"/>
      <c r="G116" s="17"/>
      <c r="H116" s="17"/>
      <c r="I116" s="17"/>
      <c r="J116" s="17"/>
      <c r="K116" s="17">
        <f>SUM(Table1678[[#This Row],[Challenge 1]:[Challenge 50]])</f>
        <v>0</v>
      </c>
      <c r="L116" s="88">
        <f>SUM(Table1678[[#This Row],[Club 1]:[Club 50]])</f>
        <v>0</v>
      </c>
      <c r="M116" s="88">
        <f>SUM(Table1678[[#This Row],[Intra-school sports 1]:[Intra-school sports 50]])</f>
        <v>0</v>
      </c>
      <c r="N116" s="88">
        <f>SUM(Table1678[[#This Row],[Inter School sports 1]:[Inter School sports 50]])</f>
        <v>0</v>
      </c>
      <c r="O116" s="17">
        <f>COUNTIF(Table1678[[#This Row],[Community club (type name of club(s). All clubs will count as ''1'']],"*")</f>
        <v>0</v>
      </c>
      <c r="P116" s="17">
        <f>IF(OR(Table1678[[#This Row],[Total Challenges]]&gt;0,Table1678[[#This Row],[Total Ex-C Clubs]]&gt;0,Table1678[[#This Row],[Total Intra-School Sports]]&gt;0,Table1678[[#This Row],[Total Inter-School Sports]]&gt;0,Table1678[[#This Row],[Community Clubs]]&gt;0),1,0)</f>
        <v>0</v>
      </c>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21"/>
    </row>
    <row r="117" spans="1:218" x14ac:dyDescent="0.25">
      <c r="A117" s="17"/>
      <c r="B117" s="17"/>
      <c r="C117" s="17"/>
      <c r="D117" s="17"/>
      <c r="E117" s="17"/>
      <c r="F117" s="17"/>
      <c r="G117" s="17"/>
      <c r="H117" s="17"/>
      <c r="I117" s="17"/>
      <c r="J117" s="17"/>
      <c r="K117" s="17">
        <f>SUM(Table1678[[#This Row],[Challenge 1]:[Challenge 50]])</f>
        <v>0</v>
      </c>
      <c r="L117" s="88">
        <f>SUM(Table1678[[#This Row],[Club 1]:[Club 50]])</f>
        <v>0</v>
      </c>
      <c r="M117" s="88">
        <f>SUM(Table1678[[#This Row],[Intra-school sports 1]:[Intra-school sports 50]])</f>
        <v>0</v>
      </c>
      <c r="N117" s="88">
        <f>SUM(Table1678[[#This Row],[Inter School sports 1]:[Inter School sports 50]])</f>
        <v>0</v>
      </c>
      <c r="O117" s="17">
        <f>COUNTIF(Table1678[[#This Row],[Community club (type name of club(s). All clubs will count as ''1'']],"*")</f>
        <v>0</v>
      </c>
      <c r="P117" s="17">
        <f>IF(OR(Table1678[[#This Row],[Total Challenges]]&gt;0,Table1678[[#This Row],[Total Ex-C Clubs]]&gt;0,Table1678[[#This Row],[Total Intra-School Sports]]&gt;0,Table1678[[#This Row],[Total Inter-School Sports]]&gt;0,Table1678[[#This Row],[Community Clubs]]&gt;0),1,0)</f>
        <v>0</v>
      </c>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21"/>
    </row>
    <row r="118" spans="1:218" x14ac:dyDescent="0.25">
      <c r="A118" s="17"/>
      <c r="B118" s="17"/>
      <c r="C118" s="17"/>
      <c r="D118" s="17"/>
      <c r="E118" s="17"/>
      <c r="F118" s="17"/>
      <c r="G118" s="17"/>
      <c r="H118" s="17"/>
      <c r="I118" s="17"/>
      <c r="J118" s="17"/>
      <c r="K118" s="17">
        <f>SUM(Table1678[[#This Row],[Challenge 1]:[Challenge 50]])</f>
        <v>0</v>
      </c>
      <c r="L118" s="88">
        <f>SUM(Table1678[[#This Row],[Club 1]:[Club 50]])</f>
        <v>0</v>
      </c>
      <c r="M118" s="88">
        <f>SUM(Table1678[[#This Row],[Intra-school sports 1]:[Intra-school sports 50]])</f>
        <v>0</v>
      </c>
      <c r="N118" s="88">
        <f>SUM(Table1678[[#This Row],[Inter School sports 1]:[Inter School sports 50]])</f>
        <v>0</v>
      </c>
      <c r="O118" s="17">
        <f>COUNTIF(Table1678[[#This Row],[Community club (type name of club(s). All clubs will count as ''1'']],"*")</f>
        <v>0</v>
      </c>
      <c r="P118" s="17">
        <f>IF(OR(Table1678[[#This Row],[Total Challenges]]&gt;0,Table1678[[#This Row],[Total Ex-C Clubs]]&gt;0,Table1678[[#This Row],[Total Intra-School Sports]]&gt;0,Table1678[[#This Row],[Total Inter-School Sports]]&gt;0,Table1678[[#This Row],[Community Clubs]]&gt;0),1,0)</f>
        <v>0</v>
      </c>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21"/>
    </row>
    <row r="119" spans="1:218" x14ac:dyDescent="0.25">
      <c r="A119" s="17"/>
      <c r="B119" s="17"/>
      <c r="C119" s="17"/>
      <c r="D119" s="17"/>
      <c r="E119" s="17"/>
      <c r="F119" s="17"/>
      <c r="G119" s="17"/>
      <c r="H119" s="17"/>
      <c r="I119" s="17"/>
      <c r="J119" s="17"/>
      <c r="K119" s="17">
        <f>SUM(Table1678[[#This Row],[Challenge 1]:[Challenge 50]])</f>
        <v>0</v>
      </c>
      <c r="L119" s="88">
        <f>SUM(Table1678[[#This Row],[Club 1]:[Club 50]])</f>
        <v>0</v>
      </c>
      <c r="M119" s="88">
        <f>SUM(Table1678[[#This Row],[Intra-school sports 1]:[Intra-school sports 50]])</f>
        <v>0</v>
      </c>
      <c r="N119" s="88">
        <f>SUM(Table1678[[#This Row],[Inter School sports 1]:[Inter School sports 50]])</f>
        <v>0</v>
      </c>
      <c r="O119" s="17">
        <f>COUNTIF(Table1678[[#This Row],[Community club (type name of club(s). All clubs will count as ''1'']],"*")</f>
        <v>0</v>
      </c>
      <c r="P119" s="17">
        <f>IF(OR(Table1678[[#This Row],[Total Challenges]]&gt;0,Table1678[[#This Row],[Total Ex-C Clubs]]&gt;0,Table1678[[#This Row],[Total Intra-School Sports]]&gt;0,Table1678[[#This Row],[Total Inter-School Sports]]&gt;0,Table1678[[#This Row],[Community Clubs]]&gt;0),1,0)</f>
        <v>0</v>
      </c>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21"/>
    </row>
    <row r="120" spans="1:218" x14ac:dyDescent="0.25">
      <c r="A120" s="17"/>
      <c r="B120" s="17"/>
      <c r="C120" s="17"/>
      <c r="D120" s="17"/>
      <c r="E120" s="17"/>
      <c r="F120" s="17"/>
      <c r="G120" s="17"/>
      <c r="H120" s="17"/>
      <c r="I120" s="17"/>
      <c r="J120" s="17"/>
      <c r="K120" s="17">
        <f>SUM(Table1678[[#This Row],[Challenge 1]:[Challenge 50]])</f>
        <v>0</v>
      </c>
      <c r="L120" s="88">
        <f>SUM(Table1678[[#This Row],[Club 1]:[Club 50]])</f>
        <v>0</v>
      </c>
      <c r="M120" s="88">
        <f>SUM(Table1678[[#This Row],[Intra-school sports 1]:[Intra-school sports 50]])</f>
        <v>0</v>
      </c>
      <c r="N120" s="88">
        <f>SUM(Table1678[[#This Row],[Inter School sports 1]:[Inter School sports 50]])</f>
        <v>0</v>
      </c>
      <c r="O120" s="17">
        <f>COUNTIF(Table1678[[#This Row],[Community club (type name of club(s). All clubs will count as ''1'']],"*")</f>
        <v>0</v>
      </c>
      <c r="P120" s="17">
        <f>IF(OR(Table1678[[#This Row],[Total Challenges]]&gt;0,Table1678[[#This Row],[Total Ex-C Clubs]]&gt;0,Table1678[[#This Row],[Total Intra-School Sports]]&gt;0,Table1678[[#This Row],[Total Inter-School Sports]]&gt;0,Table1678[[#This Row],[Community Clubs]]&gt;0),1,0)</f>
        <v>0</v>
      </c>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21"/>
    </row>
    <row r="121" spans="1:218" x14ac:dyDescent="0.25">
      <c r="A121" s="17"/>
      <c r="B121" s="17"/>
      <c r="C121" s="17"/>
      <c r="D121" s="17"/>
      <c r="E121" s="17"/>
      <c r="F121" s="17"/>
      <c r="G121" s="17"/>
      <c r="H121" s="17"/>
      <c r="I121" s="17"/>
      <c r="J121" s="17"/>
      <c r="K121" s="17">
        <f>SUM(Table1678[[#This Row],[Challenge 1]:[Challenge 50]])</f>
        <v>0</v>
      </c>
      <c r="L121" s="88">
        <f>SUM(Table1678[[#This Row],[Club 1]:[Club 50]])</f>
        <v>0</v>
      </c>
      <c r="M121" s="88">
        <f>SUM(Table1678[[#This Row],[Intra-school sports 1]:[Intra-school sports 50]])</f>
        <v>0</v>
      </c>
      <c r="N121" s="88">
        <f>SUM(Table1678[[#This Row],[Inter School sports 1]:[Inter School sports 50]])</f>
        <v>0</v>
      </c>
      <c r="O121" s="17">
        <f>COUNTIF(Table1678[[#This Row],[Community club (type name of club(s). All clubs will count as ''1'']],"*")</f>
        <v>0</v>
      </c>
      <c r="P121" s="17">
        <f>IF(OR(Table1678[[#This Row],[Total Challenges]]&gt;0,Table1678[[#This Row],[Total Ex-C Clubs]]&gt;0,Table1678[[#This Row],[Total Intra-School Sports]]&gt;0,Table1678[[#This Row],[Total Inter-School Sports]]&gt;0,Table1678[[#This Row],[Community Clubs]]&gt;0),1,0)</f>
        <v>0</v>
      </c>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21"/>
    </row>
    <row r="122" spans="1:218" x14ac:dyDescent="0.25">
      <c r="A122" s="17"/>
      <c r="B122" s="17"/>
      <c r="C122" s="17"/>
      <c r="D122" s="17"/>
      <c r="E122" s="17"/>
      <c r="F122" s="17"/>
      <c r="G122" s="17"/>
      <c r="H122" s="17"/>
      <c r="I122" s="17"/>
      <c r="J122" s="17"/>
      <c r="K122" s="17">
        <f>SUM(Table1678[[#This Row],[Challenge 1]:[Challenge 50]])</f>
        <v>0</v>
      </c>
      <c r="L122" s="88">
        <f>SUM(Table1678[[#This Row],[Club 1]:[Club 50]])</f>
        <v>0</v>
      </c>
      <c r="M122" s="88">
        <f>SUM(Table1678[[#This Row],[Intra-school sports 1]:[Intra-school sports 50]])</f>
        <v>0</v>
      </c>
      <c r="N122" s="88">
        <f>SUM(Table1678[[#This Row],[Inter School sports 1]:[Inter School sports 50]])</f>
        <v>0</v>
      </c>
      <c r="O122" s="17">
        <f>COUNTIF(Table1678[[#This Row],[Community club (type name of club(s). All clubs will count as ''1'']],"*")</f>
        <v>0</v>
      </c>
      <c r="P122" s="17">
        <f>IF(OR(Table1678[[#This Row],[Total Challenges]]&gt;0,Table1678[[#This Row],[Total Ex-C Clubs]]&gt;0,Table1678[[#This Row],[Total Intra-School Sports]]&gt;0,Table1678[[#This Row],[Total Inter-School Sports]]&gt;0,Table1678[[#This Row],[Community Clubs]]&gt;0),1,0)</f>
        <v>0</v>
      </c>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21"/>
    </row>
    <row r="123" spans="1:218" x14ac:dyDescent="0.25">
      <c r="A123" s="17"/>
      <c r="B123" s="17"/>
      <c r="C123" s="17"/>
      <c r="D123" s="17"/>
      <c r="E123" s="17"/>
      <c r="F123" s="17"/>
      <c r="G123" s="17"/>
      <c r="H123" s="17"/>
      <c r="I123" s="17"/>
      <c r="J123" s="17"/>
      <c r="K123" s="17">
        <f>SUM(Table1678[[#This Row],[Challenge 1]:[Challenge 50]])</f>
        <v>0</v>
      </c>
      <c r="L123" s="88">
        <f>SUM(Table1678[[#This Row],[Club 1]:[Club 50]])</f>
        <v>0</v>
      </c>
      <c r="M123" s="88">
        <f>SUM(Table1678[[#This Row],[Intra-school sports 1]:[Intra-school sports 50]])</f>
        <v>0</v>
      </c>
      <c r="N123" s="88">
        <f>SUM(Table1678[[#This Row],[Inter School sports 1]:[Inter School sports 50]])</f>
        <v>0</v>
      </c>
      <c r="O123" s="17">
        <f>COUNTIF(Table1678[[#This Row],[Community club (type name of club(s). All clubs will count as ''1'']],"*")</f>
        <v>0</v>
      </c>
      <c r="P123" s="17">
        <f>IF(OR(Table1678[[#This Row],[Total Challenges]]&gt;0,Table1678[[#This Row],[Total Ex-C Clubs]]&gt;0,Table1678[[#This Row],[Total Intra-School Sports]]&gt;0,Table1678[[#This Row],[Total Inter-School Sports]]&gt;0,Table1678[[#This Row],[Community Clubs]]&gt;0),1,0)</f>
        <v>0</v>
      </c>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21"/>
    </row>
    <row r="124" spans="1:218" x14ac:dyDescent="0.25">
      <c r="A124" s="17"/>
      <c r="B124" s="17"/>
      <c r="C124" s="17"/>
      <c r="D124" s="17"/>
      <c r="E124" s="17"/>
      <c r="F124" s="17"/>
      <c r="G124" s="17"/>
      <c r="H124" s="17"/>
      <c r="I124" s="17"/>
      <c r="J124" s="17"/>
      <c r="K124" s="17">
        <f>SUM(Table1678[[#This Row],[Challenge 1]:[Challenge 50]])</f>
        <v>0</v>
      </c>
      <c r="L124" s="88">
        <f>SUM(Table1678[[#This Row],[Club 1]:[Club 50]])</f>
        <v>0</v>
      </c>
      <c r="M124" s="88">
        <f>SUM(Table1678[[#This Row],[Intra-school sports 1]:[Intra-school sports 50]])</f>
        <v>0</v>
      </c>
      <c r="N124" s="88">
        <f>SUM(Table1678[[#This Row],[Inter School sports 1]:[Inter School sports 50]])</f>
        <v>0</v>
      </c>
      <c r="O124" s="17">
        <f>COUNTIF(Table1678[[#This Row],[Community club (type name of club(s). All clubs will count as ''1'']],"*")</f>
        <v>0</v>
      </c>
      <c r="P124" s="17">
        <f>IF(OR(Table1678[[#This Row],[Total Challenges]]&gt;0,Table1678[[#This Row],[Total Ex-C Clubs]]&gt;0,Table1678[[#This Row],[Total Intra-School Sports]]&gt;0,Table1678[[#This Row],[Total Inter-School Sports]]&gt;0,Table1678[[#This Row],[Community Clubs]]&gt;0),1,0)</f>
        <v>0</v>
      </c>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21"/>
    </row>
    <row r="125" spans="1:218" x14ac:dyDescent="0.25">
      <c r="A125" s="17"/>
      <c r="B125" s="17"/>
      <c r="C125" s="17"/>
      <c r="D125" s="17"/>
      <c r="E125" s="17"/>
      <c r="F125" s="17"/>
      <c r="G125" s="17"/>
      <c r="H125" s="17"/>
      <c r="I125" s="17"/>
      <c r="J125" s="17"/>
      <c r="K125" s="17">
        <f>SUM(Table1678[[#This Row],[Challenge 1]:[Challenge 50]])</f>
        <v>0</v>
      </c>
      <c r="L125" s="88">
        <f>SUM(Table1678[[#This Row],[Club 1]:[Club 50]])</f>
        <v>0</v>
      </c>
      <c r="M125" s="88">
        <f>SUM(Table1678[[#This Row],[Intra-school sports 1]:[Intra-school sports 50]])</f>
        <v>0</v>
      </c>
      <c r="N125" s="88">
        <f>SUM(Table1678[[#This Row],[Inter School sports 1]:[Inter School sports 50]])</f>
        <v>0</v>
      </c>
      <c r="O125" s="17">
        <f>COUNTIF(Table1678[[#This Row],[Community club (type name of club(s). All clubs will count as ''1'']],"*")</f>
        <v>0</v>
      </c>
      <c r="P125" s="17">
        <f>IF(OR(Table1678[[#This Row],[Total Challenges]]&gt;0,Table1678[[#This Row],[Total Ex-C Clubs]]&gt;0,Table1678[[#This Row],[Total Intra-School Sports]]&gt;0,Table1678[[#This Row],[Total Inter-School Sports]]&gt;0,Table1678[[#This Row],[Community Clubs]]&gt;0),1,0)</f>
        <v>0</v>
      </c>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21"/>
    </row>
    <row r="126" spans="1:218" x14ac:dyDescent="0.25">
      <c r="A126" s="17"/>
      <c r="B126" s="17"/>
      <c r="C126" s="17"/>
      <c r="D126" s="17"/>
      <c r="E126" s="17"/>
      <c r="F126" s="17"/>
      <c r="G126" s="17"/>
      <c r="H126" s="17"/>
      <c r="I126" s="17"/>
      <c r="J126" s="17"/>
      <c r="K126" s="17">
        <f>SUM(Table1678[[#This Row],[Challenge 1]:[Challenge 50]])</f>
        <v>0</v>
      </c>
      <c r="L126" s="88">
        <f>SUM(Table1678[[#This Row],[Club 1]:[Club 50]])</f>
        <v>0</v>
      </c>
      <c r="M126" s="88">
        <f>SUM(Table1678[[#This Row],[Intra-school sports 1]:[Intra-school sports 50]])</f>
        <v>0</v>
      </c>
      <c r="N126" s="88">
        <f>SUM(Table1678[[#This Row],[Inter School sports 1]:[Inter School sports 50]])</f>
        <v>0</v>
      </c>
      <c r="O126" s="17">
        <f>COUNTIF(Table1678[[#This Row],[Community club (type name of club(s). All clubs will count as ''1'']],"*")</f>
        <v>0</v>
      </c>
      <c r="P126" s="17">
        <f>IF(OR(Table1678[[#This Row],[Total Challenges]]&gt;0,Table1678[[#This Row],[Total Ex-C Clubs]]&gt;0,Table1678[[#This Row],[Total Intra-School Sports]]&gt;0,Table1678[[#This Row],[Total Inter-School Sports]]&gt;0,Table1678[[#This Row],[Community Clubs]]&gt;0),1,0)</f>
        <v>0</v>
      </c>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21"/>
    </row>
    <row r="127" spans="1:218" x14ac:dyDescent="0.25">
      <c r="A127" s="17"/>
      <c r="B127" s="17"/>
      <c r="C127" s="17"/>
      <c r="D127" s="17"/>
      <c r="E127" s="17"/>
      <c r="F127" s="17"/>
      <c r="G127" s="17"/>
      <c r="H127" s="17"/>
      <c r="I127" s="17"/>
      <c r="J127" s="17"/>
      <c r="K127" s="17">
        <f>SUM(Table1678[[#This Row],[Challenge 1]:[Challenge 50]])</f>
        <v>0</v>
      </c>
      <c r="L127" s="88">
        <f>SUM(Table1678[[#This Row],[Club 1]:[Club 50]])</f>
        <v>0</v>
      </c>
      <c r="M127" s="88">
        <f>SUM(Table1678[[#This Row],[Intra-school sports 1]:[Intra-school sports 50]])</f>
        <v>0</v>
      </c>
      <c r="N127" s="88">
        <f>SUM(Table1678[[#This Row],[Inter School sports 1]:[Inter School sports 50]])</f>
        <v>0</v>
      </c>
      <c r="O127" s="17">
        <f>COUNTIF(Table1678[[#This Row],[Community club (type name of club(s). All clubs will count as ''1'']],"*")</f>
        <v>0</v>
      </c>
      <c r="P127" s="17">
        <f>IF(OR(Table1678[[#This Row],[Total Challenges]]&gt;0,Table1678[[#This Row],[Total Ex-C Clubs]]&gt;0,Table1678[[#This Row],[Total Intra-School Sports]]&gt;0,Table1678[[#This Row],[Total Inter-School Sports]]&gt;0,Table1678[[#This Row],[Community Clubs]]&gt;0),1,0)</f>
        <v>0</v>
      </c>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21"/>
    </row>
    <row r="128" spans="1:218" x14ac:dyDescent="0.25">
      <c r="A128" s="17"/>
      <c r="B128" s="17"/>
      <c r="C128" s="17"/>
      <c r="D128" s="17"/>
      <c r="E128" s="17"/>
      <c r="F128" s="17"/>
      <c r="G128" s="17"/>
      <c r="H128" s="17"/>
      <c r="I128" s="17"/>
      <c r="J128" s="17"/>
      <c r="K128" s="17">
        <f>SUM(Table1678[[#This Row],[Challenge 1]:[Challenge 50]])</f>
        <v>0</v>
      </c>
      <c r="L128" s="88">
        <f>SUM(Table1678[[#This Row],[Club 1]:[Club 50]])</f>
        <v>0</v>
      </c>
      <c r="M128" s="88">
        <f>SUM(Table1678[[#This Row],[Intra-school sports 1]:[Intra-school sports 50]])</f>
        <v>0</v>
      </c>
      <c r="N128" s="88">
        <f>SUM(Table1678[[#This Row],[Inter School sports 1]:[Inter School sports 50]])</f>
        <v>0</v>
      </c>
      <c r="O128" s="17">
        <f>COUNTIF(Table1678[[#This Row],[Community club (type name of club(s). All clubs will count as ''1'']],"*")</f>
        <v>0</v>
      </c>
      <c r="P128" s="17">
        <f>IF(OR(Table1678[[#This Row],[Total Challenges]]&gt;0,Table1678[[#This Row],[Total Ex-C Clubs]]&gt;0,Table1678[[#This Row],[Total Intra-School Sports]]&gt;0,Table1678[[#This Row],[Total Inter-School Sports]]&gt;0,Table1678[[#This Row],[Community Clubs]]&gt;0),1,0)</f>
        <v>0</v>
      </c>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21"/>
    </row>
    <row r="129" spans="1:218" x14ac:dyDescent="0.25">
      <c r="A129" s="17"/>
      <c r="B129" s="17"/>
      <c r="C129" s="17"/>
      <c r="D129" s="17"/>
      <c r="E129" s="17"/>
      <c r="F129" s="17"/>
      <c r="G129" s="17"/>
      <c r="H129" s="17"/>
      <c r="I129" s="17"/>
      <c r="J129" s="17"/>
      <c r="K129" s="17">
        <f>SUM(Table1678[[#This Row],[Challenge 1]:[Challenge 50]])</f>
        <v>0</v>
      </c>
      <c r="L129" s="88">
        <f>SUM(Table1678[[#This Row],[Club 1]:[Club 50]])</f>
        <v>0</v>
      </c>
      <c r="M129" s="88">
        <f>SUM(Table1678[[#This Row],[Intra-school sports 1]:[Intra-school sports 50]])</f>
        <v>0</v>
      </c>
      <c r="N129" s="88">
        <f>SUM(Table1678[[#This Row],[Inter School sports 1]:[Inter School sports 50]])</f>
        <v>0</v>
      </c>
      <c r="O129" s="17">
        <f>COUNTIF(Table1678[[#This Row],[Community club (type name of club(s). All clubs will count as ''1'']],"*")</f>
        <v>0</v>
      </c>
      <c r="P129" s="17">
        <f>IF(OR(Table1678[[#This Row],[Total Challenges]]&gt;0,Table1678[[#This Row],[Total Ex-C Clubs]]&gt;0,Table1678[[#This Row],[Total Intra-School Sports]]&gt;0,Table1678[[#This Row],[Total Inter-School Sports]]&gt;0,Table1678[[#This Row],[Community Clubs]]&gt;0),1,0)</f>
        <v>0</v>
      </c>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21"/>
    </row>
    <row r="130" spans="1:218" x14ac:dyDescent="0.25">
      <c r="A130" s="17"/>
      <c r="B130" s="17"/>
      <c r="C130" s="17"/>
      <c r="D130" s="17"/>
      <c r="E130" s="17"/>
      <c r="F130" s="17"/>
      <c r="G130" s="17"/>
      <c r="H130" s="17"/>
      <c r="I130" s="17"/>
      <c r="J130" s="17"/>
      <c r="K130" s="17">
        <f>SUM(Table1678[[#This Row],[Challenge 1]:[Challenge 50]])</f>
        <v>0</v>
      </c>
      <c r="L130" s="88">
        <f>SUM(Table1678[[#This Row],[Club 1]:[Club 50]])</f>
        <v>0</v>
      </c>
      <c r="M130" s="88">
        <f>SUM(Table1678[[#This Row],[Intra-school sports 1]:[Intra-school sports 50]])</f>
        <v>0</v>
      </c>
      <c r="N130" s="88">
        <f>SUM(Table1678[[#This Row],[Inter School sports 1]:[Inter School sports 50]])</f>
        <v>0</v>
      </c>
      <c r="O130" s="17">
        <f>COUNTIF(Table1678[[#This Row],[Community club (type name of club(s). All clubs will count as ''1'']],"*")</f>
        <v>0</v>
      </c>
      <c r="P130" s="17">
        <f>IF(OR(Table1678[[#This Row],[Total Challenges]]&gt;0,Table1678[[#This Row],[Total Ex-C Clubs]]&gt;0,Table1678[[#This Row],[Total Intra-School Sports]]&gt;0,Table1678[[#This Row],[Total Inter-School Sports]]&gt;0,Table1678[[#This Row],[Community Clubs]]&gt;0),1,0)</f>
        <v>0</v>
      </c>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21"/>
    </row>
    <row r="131" spans="1:218" x14ac:dyDescent="0.25">
      <c r="A131" s="17"/>
      <c r="B131" s="17"/>
      <c r="C131" s="17"/>
      <c r="D131" s="17"/>
      <c r="E131" s="17"/>
      <c r="F131" s="17"/>
      <c r="G131" s="17"/>
      <c r="H131" s="17"/>
      <c r="I131" s="17"/>
      <c r="J131" s="17"/>
      <c r="K131" s="17">
        <f>SUM(Table1678[[#This Row],[Challenge 1]:[Challenge 50]])</f>
        <v>0</v>
      </c>
      <c r="L131" s="88">
        <f>SUM(Table1678[[#This Row],[Club 1]:[Club 50]])</f>
        <v>0</v>
      </c>
      <c r="M131" s="88">
        <f>SUM(Table1678[[#This Row],[Intra-school sports 1]:[Intra-school sports 50]])</f>
        <v>0</v>
      </c>
      <c r="N131" s="88">
        <f>SUM(Table1678[[#This Row],[Inter School sports 1]:[Inter School sports 50]])</f>
        <v>0</v>
      </c>
      <c r="O131" s="17">
        <f>COUNTIF(Table1678[[#This Row],[Community club (type name of club(s). All clubs will count as ''1'']],"*")</f>
        <v>0</v>
      </c>
      <c r="P131" s="17">
        <f>IF(OR(Table1678[[#This Row],[Total Challenges]]&gt;0,Table1678[[#This Row],[Total Ex-C Clubs]]&gt;0,Table1678[[#This Row],[Total Intra-School Sports]]&gt;0,Table1678[[#This Row],[Total Inter-School Sports]]&gt;0,Table1678[[#This Row],[Community Clubs]]&gt;0),1,0)</f>
        <v>0</v>
      </c>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21"/>
    </row>
    <row r="132" spans="1:218" x14ac:dyDescent="0.25">
      <c r="A132" s="17"/>
      <c r="B132" s="17"/>
      <c r="C132" s="17"/>
      <c r="D132" s="17"/>
      <c r="E132" s="17"/>
      <c r="F132" s="17"/>
      <c r="G132" s="17"/>
      <c r="H132" s="17"/>
      <c r="I132" s="17"/>
      <c r="J132" s="17"/>
      <c r="K132" s="17">
        <f>SUM(Table1678[[#This Row],[Challenge 1]:[Challenge 50]])</f>
        <v>0</v>
      </c>
      <c r="L132" s="88">
        <f>SUM(Table1678[[#This Row],[Club 1]:[Club 50]])</f>
        <v>0</v>
      </c>
      <c r="M132" s="88">
        <f>SUM(Table1678[[#This Row],[Intra-school sports 1]:[Intra-school sports 50]])</f>
        <v>0</v>
      </c>
      <c r="N132" s="88">
        <f>SUM(Table1678[[#This Row],[Inter School sports 1]:[Inter School sports 50]])</f>
        <v>0</v>
      </c>
      <c r="O132" s="17">
        <f>COUNTIF(Table1678[[#This Row],[Community club (type name of club(s). All clubs will count as ''1'']],"*")</f>
        <v>0</v>
      </c>
      <c r="P132" s="17">
        <f>IF(OR(Table1678[[#This Row],[Total Challenges]]&gt;0,Table1678[[#This Row],[Total Ex-C Clubs]]&gt;0,Table1678[[#This Row],[Total Intra-School Sports]]&gt;0,Table1678[[#This Row],[Total Inter-School Sports]]&gt;0,Table1678[[#This Row],[Community Clubs]]&gt;0),1,0)</f>
        <v>0</v>
      </c>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21"/>
    </row>
    <row r="133" spans="1:218" x14ac:dyDescent="0.25">
      <c r="A133" s="17"/>
      <c r="B133" s="17"/>
      <c r="C133" s="17"/>
      <c r="D133" s="17"/>
      <c r="E133" s="17"/>
      <c r="F133" s="17"/>
      <c r="G133" s="17"/>
      <c r="H133" s="17"/>
      <c r="I133" s="17"/>
      <c r="J133" s="17"/>
      <c r="K133" s="17">
        <f>SUM(Table1678[[#This Row],[Challenge 1]:[Challenge 50]])</f>
        <v>0</v>
      </c>
      <c r="L133" s="88">
        <f>SUM(Table1678[[#This Row],[Club 1]:[Club 50]])</f>
        <v>0</v>
      </c>
      <c r="M133" s="88">
        <f>SUM(Table1678[[#This Row],[Intra-school sports 1]:[Intra-school sports 50]])</f>
        <v>0</v>
      </c>
      <c r="N133" s="88">
        <f>SUM(Table1678[[#This Row],[Inter School sports 1]:[Inter School sports 50]])</f>
        <v>0</v>
      </c>
      <c r="O133" s="17">
        <f>COUNTIF(Table1678[[#This Row],[Community club (type name of club(s). All clubs will count as ''1'']],"*")</f>
        <v>0</v>
      </c>
      <c r="P133" s="17">
        <f>IF(OR(Table1678[[#This Row],[Total Challenges]]&gt;0,Table1678[[#This Row],[Total Ex-C Clubs]]&gt;0,Table1678[[#This Row],[Total Intra-School Sports]]&gt;0,Table1678[[#This Row],[Total Inter-School Sports]]&gt;0,Table1678[[#This Row],[Community Clubs]]&gt;0),1,0)</f>
        <v>0</v>
      </c>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21"/>
    </row>
    <row r="134" spans="1:218" x14ac:dyDescent="0.25">
      <c r="A134" s="17"/>
      <c r="B134" s="17"/>
      <c r="C134" s="17"/>
      <c r="D134" s="17"/>
      <c r="E134" s="17"/>
      <c r="F134" s="17"/>
      <c r="G134" s="17"/>
      <c r="H134" s="17"/>
      <c r="I134" s="17"/>
      <c r="J134" s="17"/>
      <c r="K134" s="17">
        <f>SUM(Table1678[[#This Row],[Challenge 1]:[Challenge 50]])</f>
        <v>0</v>
      </c>
      <c r="L134" s="88">
        <f>SUM(Table1678[[#This Row],[Club 1]:[Club 50]])</f>
        <v>0</v>
      </c>
      <c r="M134" s="88">
        <f>SUM(Table1678[[#This Row],[Intra-school sports 1]:[Intra-school sports 50]])</f>
        <v>0</v>
      </c>
      <c r="N134" s="88">
        <f>SUM(Table1678[[#This Row],[Inter School sports 1]:[Inter School sports 50]])</f>
        <v>0</v>
      </c>
      <c r="O134" s="17">
        <f>COUNTIF(Table1678[[#This Row],[Community club (type name of club(s). All clubs will count as ''1'']],"*")</f>
        <v>0</v>
      </c>
      <c r="P134" s="17">
        <f>IF(OR(Table1678[[#This Row],[Total Challenges]]&gt;0,Table1678[[#This Row],[Total Ex-C Clubs]]&gt;0,Table1678[[#This Row],[Total Intra-School Sports]]&gt;0,Table1678[[#This Row],[Total Inter-School Sports]]&gt;0,Table1678[[#This Row],[Community Clubs]]&gt;0),1,0)</f>
        <v>0</v>
      </c>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21"/>
    </row>
    <row r="135" spans="1:218" x14ac:dyDescent="0.25">
      <c r="A135" s="17"/>
      <c r="B135" s="17"/>
      <c r="C135" s="17"/>
      <c r="D135" s="17"/>
      <c r="E135" s="17"/>
      <c r="F135" s="17"/>
      <c r="G135" s="17"/>
      <c r="H135" s="17"/>
      <c r="I135" s="17"/>
      <c r="J135" s="17"/>
      <c r="K135" s="17">
        <f>SUM(Table1678[[#This Row],[Challenge 1]:[Challenge 50]])</f>
        <v>0</v>
      </c>
      <c r="L135" s="88">
        <f>SUM(Table1678[[#This Row],[Club 1]:[Club 50]])</f>
        <v>0</v>
      </c>
      <c r="M135" s="88">
        <f>SUM(Table1678[[#This Row],[Intra-school sports 1]:[Intra-school sports 50]])</f>
        <v>0</v>
      </c>
      <c r="N135" s="88">
        <f>SUM(Table1678[[#This Row],[Inter School sports 1]:[Inter School sports 50]])</f>
        <v>0</v>
      </c>
      <c r="O135" s="17">
        <f>COUNTIF(Table1678[[#This Row],[Community club (type name of club(s). All clubs will count as ''1'']],"*")</f>
        <v>0</v>
      </c>
      <c r="P135" s="17">
        <f>IF(OR(Table1678[[#This Row],[Total Challenges]]&gt;0,Table1678[[#This Row],[Total Ex-C Clubs]]&gt;0,Table1678[[#This Row],[Total Intra-School Sports]]&gt;0,Table1678[[#This Row],[Total Inter-School Sports]]&gt;0,Table1678[[#This Row],[Community Clubs]]&gt;0),1,0)</f>
        <v>0</v>
      </c>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21"/>
    </row>
    <row r="136" spans="1:218" x14ac:dyDescent="0.25">
      <c r="A136" s="17"/>
      <c r="B136" s="17"/>
      <c r="C136" s="17"/>
      <c r="D136" s="17"/>
      <c r="E136" s="17"/>
      <c r="F136" s="17"/>
      <c r="G136" s="17"/>
      <c r="H136" s="17"/>
      <c r="I136" s="17"/>
      <c r="J136" s="17"/>
      <c r="K136" s="17">
        <f>SUM(Table1678[[#This Row],[Challenge 1]:[Challenge 50]])</f>
        <v>0</v>
      </c>
      <c r="L136" s="88">
        <f>SUM(Table1678[[#This Row],[Club 1]:[Club 50]])</f>
        <v>0</v>
      </c>
      <c r="M136" s="88">
        <f>SUM(Table1678[[#This Row],[Intra-school sports 1]:[Intra-school sports 50]])</f>
        <v>0</v>
      </c>
      <c r="N136" s="88">
        <f>SUM(Table1678[[#This Row],[Inter School sports 1]:[Inter School sports 50]])</f>
        <v>0</v>
      </c>
      <c r="O136" s="17">
        <f>COUNTIF(Table1678[[#This Row],[Community club (type name of club(s). All clubs will count as ''1'']],"*")</f>
        <v>0</v>
      </c>
      <c r="P136" s="17">
        <f>IF(OR(Table1678[[#This Row],[Total Challenges]]&gt;0,Table1678[[#This Row],[Total Ex-C Clubs]]&gt;0,Table1678[[#This Row],[Total Intra-School Sports]]&gt;0,Table1678[[#This Row],[Total Inter-School Sports]]&gt;0,Table1678[[#This Row],[Community Clubs]]&gt;0),1,0)</f>
        <v>0</v>
      </c>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21"/>
    </row>
    <row r="137" spans="1:218" x14ac:dyDescent="0.25">
      <c r="A137" s="17"/>
      <c r="B137" s="17"/>
      <c r="C137" s="17"/>
      <c r="D137" s="17"/>
      <c r="E137" s="17"/>
      <c r="F137" s="17"/>
      <c r="G137" s="17"/>
      <c r="H137" s="17"/>
      <c r="I137" s="17"/>
      <c r="J137" s="17"/>
      <c r="K137" s="17">
        <f>SUM(Table1678[[#This Row],[Challenge 1]:[Challenge 50]])</f>
        <v>0</v>
      </c>
      <c r="L137" s="88">
        <f>SUM(Table1678[[#This Row],[Club 1]:[Club 50]])</f>
        <v>0</v>
      </c>
      <c r="M137" s="88">
        <f>SUM(Table1678[[#This Row],[Intra-school sports 1]:[Intra-school sports 50]])</f>
        <v>0</v>
      </c>
      <c r="N137" s="88">
        <f>SUM(Table1678[[#This Row],[Inter School sports 1]:[Inter School sports 50]])</f>
        <v>0</v>
      </c>
      <c r="O137" s="17">
        <f>COUNTIF(Table1678[[#This Row],[Community club (type name of club(s). All clubs will count as ''1'']],"*")</f>
        <v>0</v>
      </c>
      <c r="P137" s="17">
        <f>IF(OR(Table1678[[#This Row],[Total Challenges]]&gt;0,Table1678[[#This Row],[Total Ex-C Clubs]]&gt;0,Table1678[[#This Row],[Total Intra-School Sports]]&gt;0,Table1678[[#This Row],[Total Inter-School Sports]]&gt;0,Table1678[[#This Row],[Community Clubs]]&gt;0),1,0)</f>
        <v>0</v>
      </c>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21"/>
    </row>
    <row r="138" spans="1:218" x14ac:dyDescent="0.25">
      <c r="A138" s="17"/>
      <c r="B138" s="17"/>
      <c r="C138" s="17"/>
      <c r="D138" s="17"/>
      <c r="E138" s="17"/>
      <c r="F138" s="17"/>
      <c r="G138" s="17"/>
      <c r="H138" s="17"/>
      <c r="I138" s="17"/>
      <c r="J138" s="17"/>
      <c r="K138" s="17">
        <f>SUM(Table1678[[#This Row],[Challenge 1]:[Challenge 50]])</f>
        <v>0</v>
      </c>
      <c r="L138" s="88">
        <f>SUM(Table1678[[#This Row],[Club 1]:[Club 50]])</f>
        <v>0</v>
      </c>
      <c r="M138" s="88">
        <f>SUM(Table1678[[#This Row],[Intra-school sports 1]:[Intra-school sports 50]])</f>
        <v>0</v>
      </c>
      <c r="N138" s="88">
        <f>SUM(Table1678[[#This Row],[Inter School sports 1]:[Inter School sports 50]])</f>
        <v>0</v>
      </c>
      <c r="O138" s="17">
        <f>COUNTIF(Table1678[[#This Row],[Community club (type name of club(s). All clubs will count as ''1'']],"*")</f>
        <v>0</v>
      </c>
      <c r="P138" s="17">
        <f>IF(OR(Table1678[[#This Row],[Total Challenges]]&gt;0,Table1678[[#This Row],[Total Ex-C Clubs]]&gt;0,Table1678[[#This Row],[Total Intra-School Sports]]&gt;0,Table1678[[#This Row],[Total Inter-School Sports]]&gt;0,Table1678[[#This Row],[Community Clubs]]&gt;0),1,0)</f>
        <v>0</v>
      </c>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21"/>
    </row>
    <row r="139" spans="1:218" x14ac:dyDescent="0.25">
      <c r="A139" s="17"/>
      <c r="B139" s="17"/>
      <c r="C139" s="17"/>
      <c r="D139" s="17"/>
      <c r="E139" s="17"/>
      <c r="F139" s="17"/>
      <c r="G139" s="17"/>
      <c r="H139" s="17"/>
      <c r="I139" s="17"/>
      <c r="J139" s="17"/>
      <c r="K139" s="17">
        <f>SUM(Table1678[[#This Row],[Challenge 1]:[Challenge 50]])</f>
        <v>0</v>
      </c>
      <c r="L139" s="88">
        <f>SUM(Table1678[[#This Row],[Club 1]:[Club 50]])</f>
        <v>0</v>
      </c>
      <c r="M139" s="88">
        <f>SUM(Table1678[[#This Row],[Intra-school sports 1]:[Intra-school sports 50]])</f>
        <v>0</v>
      </c>
      <c r="N139" s="88">
        <f>SUM(Table1678[[#This Row],[Inter School sports 1]:[Inter School sports 50]])</f>
        <v>0</v>
      </c>
      <c r="O139" s="17">
        <f>COUNTIF(Table1678[[#This Row],[Community club (type name of club(s). All clubs will count as ''1'']],"*")</f>
        <v>0</v>
      </c>
      <c r="P139" s="17">
        <f>IF(OR(Table1678[[#This Row],[Total Challenges]]&gt;0,Table1678[[#This Row],[Total Ex-C Clubs]]&gt;0,Table1678[[#This Row],[Total Intra-School Sports]]&gt;0,Table1678[[#This Row],[Total Inter-School Sports]]&gt;0,Table1678[[#This Row],[Community Clubs]]&gt;0),1,0)</f>
        <v>0</v>
      </c>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21"/>
    </row>
    <row r="140" spans="1:218" x14ac:dyDescent="0.25">
      <c r="A140" s="17"/>
      <c r="B140" s="17"/>
      <c r="C140" s="17"/>
      <c r="D140" s="17"/>
      <c r="E140" s="17"/>
      <c r="F140" s="17"/>
      <c r="G140" s="17"/>
      <c r="H140" s="17"/>
      <c r="I140" s="17"/>
      <c r="J140" s="17"/>
      <c r="K140" s="17">
        <f>SUM(Table1678[[#This Row],[Challenge 1]:[Challenge 50]])</f>
        <v>0</v>
      </c>
      <c r="L140" s="88">
        <f>SUM(Table1678[[#This Row],[Club 1]:[Club 50]])</f>
        <v>0</v>
      </c>
      <c r="M140" s="88">
        <f>SUM(Table1678[[#This Row],[Intra-school sports 1]:[Intra-school sports 50]])</f>
        <v>0</v>
      </c>
      <c r="N140" s="88">
        <f>SUM(Table1678[[#This Row],[Inter School sports 1]:[Inter School sports 50]])</f>
        <v>0</v>
      </c>
      <c r="O140" s="17">
        <f>COUNTIF(Table1678[[#This Row],[Community club (type name of club(s). All clubs will count as ''1'']],"*")</f>
        <v>0</v>
      </c>
      <c r="P140" s="17">
        <f>IF(OR(Table1678[[#This Row],[Total Challenges]]&gt;0,Table1678[[#This Row],[Total Ex-C Clubs]]&gt;0,Table1678[[#This Row],[Total Intra-School Sports]]&gt;0,Table1678[[#This Row],[Total Inter-School Sports]]&gt;0,Table1678[[#This Row],[Community Clubs]]&gt;0),1,0)</f>
        <v>0</v>
      </c>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21"/>
    </row>
    <row r="141" spans="1:218" x14ac:dyDescent="0.25">
      <c r="A141" s="17"/>
      <c r="B141" s="17"/>
      <c r="C141" s="17"/>
      <c r="D141" s="17"/>
      <c r="E141" s="17"/>
      <c r="F141" s="17"/>
      <c r="G141" s="17"/>
      <c r="H141" s="17"/>
      <c r="I141" s="17"/>
      <c r="J141" s="17"/>
      <c r="K141" s="17">
        <f>SUM(Table1678[[#This Row],[Challenge 1]:[Challenge 50]])</f>
        <v>0</v>
      </c>
      <c r="L141" s="88">
        <f>SUM(Table1678[[#This Row],[Club 1]:[Club 50]])</f>
        <v>0</v>
      </c>
      <c r="M141" s="88">
        <f>SUM(Table1678[[#This Row],[Intra-school sports 1]:[Intra-school sports 50]])</f>
        <v>0</v>
      </c>
      <c r="N141" s="88">
        <f>SUM(Table1678[[#This Row],[Inter School sports 1]:[Inter School sports 50]])</f>
        <v>0</v>
      </c>
      <c r="O141" s="17">
        <f>COUNTIF(Table1678[[#This Row],[Community club (type name of club(s). All clubs will count as ''1'']],"*")</f>
        <v>0</v>
      </c>
      <c r="P141" s="17">
        <f>IF(OR(Table1678[[#This Row],[Total Challenges]]&gt;0,Table1678[[#This Row],[Total Ex-C Clubs]]&gt;0,Table1678[[#This Row],[Total Intra-School Sports]]&gt;0,Table1678[[#This Row],[Total Inter-School Sports]]&gt;0,Table1678[[#This Row],[Community Clubs]]&gt;0),1,0)</f>
        <v>0</v>
      </c>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21"/>
    </row>
    <row r="142" spans="1:218" x14ac:dyDescent="0.25">
      <c r="A142" s="17"/>
      <c r="B142" s="17"/>
      <c r="C142" s="17"/>
      <c r="D142" s="17"/>
      <c r="E142" s="17"/>
      <c r="F142" s="17"/>
      <c r="G142" s="17"/>
      <c r="H142" s="17"/>
      <c r="I142" s="17"/>
      <c r="J142" s="17"/>
      <c r="K142" s="17">
        <f>SUM(Table1678[[#This Row],[Challenge 1]:[Challenge 50]])</f>
        <v>0</v>
      </c>
      <c r="L142" s="88">
        <f>SUM(Table1678[[#This Row],[Club 1]:[Club 50]])</f>
        <v>0</v>
      </c>
      <c r="M142" s="88">
        <f>SUM(Table1678[[#This Row],[Intra-school sports 1]:[Intra-school sports 50]])</f>
        <v>0</v>
      </c>
      <c r="N142" s="88">
        <f>SUM(Table1678[[#This Row],[Inter School sports 1]:[Inter School sports 50]])</f>
        <v>0</v>
      </c>
      <c r="O142" s="17">
        <f>COUNTIF(Table1678[[#This Row],[Community club (type name of club(s). All clubs will count as ''1'']],"*")</f>
        <v>0</v>
      </c>
      <c r="P142" s="17">
        <f>IF(OR(Table1678[[#This Row],[Total Challenges]]&gt;0,Table1678[[#This Row],[Total Ex-C Clubs]]&gt;0,Table1678[[#This Row],[Total Intra-School Sports]]&gt;0,Table1678[[#This Row],[Total Inter-School Sports]]&gt;0,Table1678[[#This Row],[Community Clubs]]&gt;0),1,0)</f>
        <v>0</v>
      </c>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21"/>
    </row>
    <row r="143" spans="1:218" x14ac:dyDescent="0.25">
      <c r="A143" s="17"/>
      <c r="B143" s="17"/>
      <c r="C143" s="17"/>
      <c r="D143" s="17"/>
      <c r="E143" s="17"/>
      <c r="F143" s="17"/>
      <c r="G143" s="17"/>
      <c r="H143" s="17"/>
      <c r="I143" s="17"/>
      <c r="J143" s="17"/>
      <c r="K143" s="17">
        <f>SUM(Table1678[[#This Row],[Challenge 1]:[Challenge 50]])</f>
        <v>0</v>
      </c>
      <c r="L143" s="88">
        <f>SUM(Table1678[[#This Row],[Club 1]:[Club 50]])</f>
        <v>0</v>
      </c>
      <c r="M143" s="88">
        <f>SUM(Table1678[[#This Row],[Intra-school sports 1]:[Intra-school sports 50]])</f>
        <v>0</v>
      </c>
      <c r="N143" s="88">
        <f>SUM(Table1678[[#This Row],[Inter School sports 1]:[Inter School sports 50]])</f>
        <v>0</v>
      </c>
      <c r="O143" s="17">
        <f>COUNTIF(Table1678[[#This Row],[Community club (type name of club(s). All clubs will count as ''1'']],"*")</f>
        <v>0</v>
      </c>
      <c r="P143" s="17">
        <f>IF(OR(Table1678[[#This Row],[Total Challenges]]&gt;0,Table1678[[#This Row],[Total Ex-C Clubs]]&gt;0,Table1678[[#This Row],[Total Intra-School Sports]]&gt;0,Table1678[[#This Row],[Total Inter-School Sports]]&gt;0,Table1678[[#This Row],[Community Clubs]]&gt;0),1,0)</f>
        <v>0</v>
      </c>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21"/>
    </row>
    <row r="144" spans="1:218" x14ac:dyDescent="0.25">
      <c r="A144" s="17"/>
      <c r="B144" s="17"/>
      <c r="C144" s="17"/>
      <c r="D144" s="17"/>
      <c r="E144" s="17"/>
      <c r="F144" s="17"/>
      <c r="G144" s="17"/>
      <c r="H144" s="17"/>
      <c r="I144" s="17"/>
      <c r="J144" s="17"/>
      <c r="K144" s="17">
        <f>SUM(Table1678[[#This Row],[Challenge 1]:[Challenge 50]])</f>
        <v>0</v>
      </c>
      <c r="L144" s="88">
        <f>SUM(Table1678[[#This Row],[Club 1]:[Club 50]])</f>
        <v>0</v>
      </c>
      <c r="M144" s="88">
        <f>SUM(Table1678[[#This Row],[Intra-school sports 1]:[Intra-school sports 50]])</f>
        <v>0</v>
      </c>
      <c r="N144" s="88">
        <f>SUM(Table1678[[#This Row],[Inter School sports 1]:[Inter School sports 50]])</f>
        <v>0</v>
      </c>
      <c r="O144" s="17">
        <f>COUNTIF(Table1678[[#This Row],[Community club (type name of club(s). All clubs will count as ''1'']],"*")</f>
        <v>0</v>
      </c>
      <c r="P144" s="17">
        <f>IF(OR(Table1678[[#This Row],[Total Challenges]]&gt;0,Table1678[[#This Row],[Total Ex-C Clubs]]&gt;0,Table1678[[#This Row],[Total Intra-School Sports]]&gt;0,Table1678[[#This Row],[Total Inter-School Sports]]&gt;0,Table1678[[#This Row],[Community Clubs]]&gt;0),1,0)</f>
        <v>0</v>
      </c>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21"/>
    </row>
    <row r="145" spans="1:218" x14ac:dyDescent="0.25">
      <c r="A145" s="17"/>
      <c r="B145" s="17"/>
      <c r="C145" s="17"/>
      <c r="D145" s="17"/>
      <c r="E145" s="17"/>
      <c r="F145" s="17"/>
      <c r="G145" s="17"/>
      <c r="H145" s="17"/>
      <c r="I145" s="17"/>
      <c r="J145" s="17"/>
      <c r="K145" s="17">
        <f>SUM(Table1678[[#This Row],[Challenge 1]:[Challenge 50]])</f>
        <v>0</v>
      </c>
      <c r="L145" s="88">
        <f>SUM(Table1678[[#This Row],[Club 1]:[Club 50]])</f>
        <v>0</v>
      </c>
      <c r="M145" s="88">
        <f>SUM(Table1678[[#This Row],[Intra-school sports 1]:[Intra-school sports 50]])</f>
        <v>0</v>
      </c>
      <c r="N145" s="88">
        <f>SUM(Table1678[[#This Row],[Inter School sports 1]:[Inter School sports 50]])</f>
        <v>0</v>
      </c>
      <c r="O145" s="17">
        <f>COUNTIF(Table1678[[#This Row],[Community club (type name of club(s). All clubs will count as ''1'']],"*")</f>
        <v>0</v>
      </c>
      <c r="P145" s="17">
        <f>IF(OR(Table1678[[#This Row],[Total Challenges]]&gt;0,Table1678[[#This Row],[Total Ex-C Clubs]]&gt;0,Table1678[[#This Row],[Total Intra-School Sports]]&gt;0,Table1678[[#This Row],[Total Inter-School Sports]]&gt;0,Table1678[[#This Row],[Community Clubs]]&gt;0),1,0)</f>
        <v>0</v>
      </c>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21"/>
    </row>
    <row r="146" spans="1:218" x14ac:dyDescent="0.25">
      <c r="A146" s="17"/>
      <c r="B146" s="17"/>
      <c r="C146" s="17"/>
      <c r="D146" s="17"/>
      <c r="E146" s="17"/>
      <c r="F146" s="17"/>
      <c r="G146" s="17"/>
      <c r="H146" s="17"/>
      <c r="I146" s="17"/>
      <c r="J146" s="17"/>
      <c r="K146" s="17">
        <f>SUM(Table1678[[#This Row],[Challenge 1]:[Challenge 50]])</f>
        <v>0</v>
      </c>
      <c r="L146" s="88">
        <f>SUM(Table1678[[#This Row],[Club 1]:[Club 50]])</f>
        <v>0</v>
      </c>
      <c r="M146" s="88">
        <f>SUM(Table1678[[#This Row],[Intra-school sports 1]:[Intra-school sports 50]])</f>
        <v>0</v>
      </c>
      <c r="N146" s="88">
        <f>SUM(Table1678[[#This Row],[Inter School sports 1]:[Inter School sports 50]])</f>
        <v>0</v>
      </c>
      <c r="O146" s="17">
        <f>COUNTIF(Table1678[[#This Row],[Community club (type name of club(s). All clubs will count as ''1'']],"*")</f>
        <v>0</v>
      </c>
      <c r="P146" s="17">
        <f>IF(OR(Table1678[[#This Row],[Total Challenges]]&gt;0,Table1678[[#This Row],[Total Ex-C Clubs]]&gt;0,Table1678[[#This Row],[Total Intra-School Sports]]&gt;0,Table1678[[#This Row],[Total Inter-School Sports]]&gt;0,Table1678[[#This Row],[Community Clubs]]&gt;0),1,0)</f>
        <v>0</v>
      </c>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21"/>
    </row>
    <row r="147" spans="1:218" x14ac:dyDescent="0.25">
      <c r="A147" s="17"/>
      <c r="B147" s="17"/>
      <c r="C147" s="17"/>
      <c r="D147" s="17"/>
      <c r="E147" s="17"/>
      <c r="F147" s="17"/>
      <c r="G147" s="17"/>
      <c r="H147" s="17"/>
      <c r="I147" s="17"/>
      <c r="J147" s="17"/>
      <c r="K147" s="17">
        <f>SUM(Table1678[[#This Row],[Challenge 1]:[Challenge 50]])</f>
        <v>0</v>
      </c>
      <c r="L147" s="88">
        <f>SUM(Table1678[[#This Row],[Club 1]:[Club 50]])</f>
        <v>0</v>
      </c>
      <c r="M147" s="88">
        <f>SUM(Table1678[[#This Row],[Intra-school sports 1]:[Intra-school sports 50]])</f>
        <v>0</v>
      </c>
      <c r="N147" s="88">
        <f>SUM(Table1678[[#This Row],[Inter School sports 1]:[Inter School sports 50]])</f>
        <v>0</v>
      </c>
      <c r="O147" s="17">
        <f>COUNTIF(Table1678[[#This Row],[Community club (type name of club(s). All clubs will count as ''1'']],"*")</f>
        <v>0</v>
      </c>
      <c r="P147" s="17">
        <f>IF(OR(Table1678[[#This Row],[Total Challenges]]&gt;0,Table1678[[#This Row],[Total Ex-C Clubs]]&gt;0,Table1678[[#This Row],[Total Intra-School Sports]]&gt;0,Table1678[[#This Row],[Total Inter-School Sports]]&gt;0,Table1678[[#This Row],[Community Clubs]]&gt;0),1,0)</f>
        <v>0</v>
      </c>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21"/>
    </row>
    <row r="148" spans="1:218" x14ac:dyDescent="0.25">
      <c r="A148" s="17"/>
      <c r="B148" s="17"/>
      <c r="C148" s="17"/>
      <c r="D148" s="17"/>
      <c r="E148" s="17"/>
      <c r="F148" s="17"/>
      <c r="G148" s="17"/>
      <c r="H148" s="17"/>
      <c r="I148" s="17"/>
      <c r="J148" s="17"/>
      <c r="K148" s="17">
        <f>SUM(Table1678[[#This Row],[Challenge 1]:[Challenge 50]])</f>
        <v>0</v>
      </c>
      <c r="L148" s="88">
        <f>SUM(Table1678[[#This Row],[Club 1]:[Club 50]])</f>
        <v>0</v>
      </c>
      <c r="M148" s="88">
        <f>SUM(Table1678[[#This Row],[Intra-school sports 1]:[Intra-school sports 50]])</f>
        <v>0</v>
      </c>
      <c r="N148" s="88">
        <f>SUM(Table1678[[#This Row],[Inter School sports 1]:[Inter School sports 50]])</f>
        <v>0</v>
      </c>
      <c r="O148" s="17">
        <f>COUNTIF(Table1678[[#This Row],[Community club (type name of club(s). All clubs will count as ''1'']],"*")</f>
        <v>0</v>
      </c>
      <c r="P148" s="17">
        <f>IF(OR(Table1678[[#This Row],[Total Challenges]]&gt;0,Table1678[[#This Row],[Total Ex-C Clubs]]&gt;0,Table1678[[#This Row],[Total Intra-School Sports]]&gt;0,Table1678[[#This Row],[Total Inter-School Sports]]&gt;0,Table1678[[#This Row],[Community Clubs]]&gt;0),1,0)</f>
        <v>0</v>
      </c>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21"/>
    </row>
    <row r="149" spans="1:218" x14ac:dyDescent="0.25">
      <c r="A149" s="17"/>
      <c r="B149" s="17"/>
      <c r="C149" s="17"/>
      <c r="D149" s="17"/>
      <c r="E149" s="17"/>
      <c r="F149" s="17"/>
      <c r="G149" s="17"/>
      <c r="H149" s="17"/>
      <c r="I149" s="17"/>
      <c r="J149" s="17"/>
      <c r="K149" s="17">
        <f>SUM(Table1678[[#This Row],[Challenge 1]:[Challenge 50]])</f>
        <v>0</v>
      </c>
      <c r="L149" s="88">
        <f>SUM(Table1678[[#This Row],[Club 1]:[Club 50]])</f>
        <v>0</v>
      </c>
      <c r="M149" s="88">
        <f>SUM(Table1678[[#This Row],[Intra-school sports 1]:[Intra-school sports 50]])</f>
        <v>0</v>
      </c>
      <c r="N149" s="88">
        <f>SUM(Table1678[[#This Row],[Inter School sports 1]:[Inter School sports 50]])</f>
        <v>0</v>
      </c>
      <c r="O149" s="17">
        <f>COUNTIF(Table1678[[#This Row],[Community club (type name of club(s). All clubs will count as ''1'']],"*")</f>
        <v>0</v>
      </c>
      <c r="P149" s="17">
        <f>IF(OR(Table1678[[#This Row],[Total Challenges]]&gt;0,Table1678[[#This Row],[Total Ex-C Clubs]]&gt;0,Table1678[[#This Row],[Total Intra-School Sports]]&gt;0,Table1678[[#This Row],[Total Inter-School Sports]]&gt;0,Table1678[[#This Row],[Community Clubs]]&gt;0),1,0)</f>
        <v>0</v>
      </c>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21"/>
    </row>
    <row r="150" spans="1:218" x14ac:dyDescent="0.25">
      <c r="A150" s="17"/>
      <c r="B150" s="17"/>
      <c r="C150" s="17"/>
      <c r="D150" s="17"/>
      <c r="E150" s="17"/>
      <c r="F150" s="17"/>
      <c r="G150" s="17"/>
      <c r="H150" s="17"/>
      <c r="I150" s="17"/>
      <c r="J150" s="17"/>
      <c r="K150" s="17">
        <f>SUM(Table1678[[#This Row],[Challenge 1]:[Challenge 50]])</f>
        <v>0</v>
      </c>
      <c r="L150" s="88">
        <f>SUM(Table1678[[#This Row],[Club 1]:[Club 50]])</f>
        <v>0</v>
      </c>
      <c r="M150" s="88">
        <f>SUM(Table1678[[#This Row],[Intra-school sports 1]:[Intra-school sports 50]])</f>
        <v>0</v>
      </c>
      <c r="N150" s="88">
        <f>SUM(Table1678[[#This Row],[Inter School sports 1]:[Inter School sports 50]])</f>
        <v>0</v>
      </c>
      <c r="O150" s="17">
        <f>COUNTIF(Table1678[[#This Row],[Community club (type name of club(s). All clubs will count as ''1'']],"*")</f>
        <v>0</v>
      </c>
      <c r="P150" s="17">
        <f>IF(OR(Table1678[[#This Row],[Total Challenges]]&gt;0,Table1678[[#This Row],[Total Ex-C Clubs]]&gt;0,Table1678[[#This Row],[Total Intra-School Sports]]&gt;0,Table1678[[#This Row],[Total Inter-School Sports]]&gt;0,Table1678[[#This Row],[Community Clubs]]&gt;0),1,0)</f>
        <v>0</v>
      </c>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21"/>
    </row>
    <row r="151" spans="1:218" x14ac:dyDescent="0.25">
      <c r="A151" s="17"/>
      <c r="B151" s="17"/>
      <c r="C151" s="17"/>
      <c r="D151" s="17"/>
      <c r="E151" s="17"/>
      <c r="F151" s="17"/>
      <c r="G151" s="17"/>
      <c r="H151" s="17"/>
      <c r="I151" s="17"/>
      <c r="J151" s="17"/>
      <c r="K151" s="17">
        <f>SUM(Table1678[[#This Row],[Challenge 1]:[Challenge 50]])</f>
        <v>0</v>
      </c>
      <c r="L151" s="88">
        <f>SUM(Table1678[[#This Row],[Club 1]:[Club 50]])</f>
        <v>0</v>
      </c>
      <c r="M151" s="88">
        <f>SUM(Table1678[[#This Row],[Intra-school sports 1]:[Intra-school sports 50]])</f>
        <v>0</v>
      </c>
      <c r="N151" s="88">
        <f>SUM(Table1678[[#This Row],[Inter School sports 1]:[Inter School sports 50]])</f>
        <v>0</v>
      </c>
      <c r="O151" s="17">
        <f>COUNTIF(Table1678[[#This Row],[Community club (type name of club(s). All clubs will count as ''1'']],"*")</f>
        <v>0</v>
      </c>
      <c r="P151" s="17">
        <f>IF(OR(Table1678[[#This Row],[Total Challenges]]&gt;0,Table1678[[#This Row],[Total Ex-C Clubs]]&gt;0,Table1678[[#This Row],[Total Intra-School Sports]]&gt;0,Table1678[[#This Row],[Total Inter-School Sports]]&gt;0,Table1678[[#This Row],[Community Clubs]]&gt;0),1,0)</f>
        <v>0</v>
      </c>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21"/>
    </row>
    <row r="152" spans="1:218" x14ac:dyDescent="0.25">
      <c r="A152" s="17"/>
      <c r="B152" s="17"/>
      <c r="C152" s="17"/>
      <c r="D152" s="17"/>
      <c r="E152" s="17"/>
      <c r="F152" s="17"/>
      <c r="G152" s="17"/>
      <c r="H152" s="17"/>
      <c r="I152" s="17"/>
      <c r="J152" s="17"/>
      <c r="K152" s="17">
        <f>SUM(Table1678[[#This Row],[Challenge 1]:[Challenge 50]])</f>
        <v>0</v>
      </c>
      <c r="L152" s="88">
        <f>SUM(Table1678[[#This Row],[Club 1]:[Club 50]])</f>
        <v>0</v>
      </c>
      <c r="M152" s="88">
        <f>SUM(Table1678[[#This Row],[Intra-school sports 1]:[Intra-school sports 50]])</f>
        <v>0</v>
      </c>
      <c r="N152" s="88">
        <f>SUM(Table1678[[#This Row],[Inter School sports 1]:[Inter School sports 50]])</f>
        <v>0</v>
      </c>
      <c r="O152" s="17">
        <f>COUNTIF(Table1678[[#This Row],[Community club (type name of club(s). All clubs will count as ''1'']],"*")</f>
        <v>0</v>
      </c>
      <c r="P152" s="17">
        <f>IF(OR(Table1678[[#This Row],[Total Challenges]]&gt;0,Table1678[[#This Row],[Total Ex-C Clubs]]&gt;0,Table1678[[#This Row],[Total Intra-School Sports]]&gt;0,Table1678[[#This Row],[Total Inter-School Sports]]&gt;0,Table1678[[#This Row],[Community Clubs]]&gt;0),1,0)</f>
        <v>0</v>
      </c>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21"/>
    </row>
    <row r="153" spans="1:218" x14ac:dyDescent="0.25">
      <c r="A153" s="17"/>
      <c r="B153" s="17"/>
      <c r="C153" s="17"/>
      <c r="D153" s="17"/>
      <c r="E153" s="17"/>
      <c r="F153" s="17"/>
      <c r="G153" s="17"/>
      <c r="H153" s="17"/>
      <c r="I153" s="17"/>
      <c r="J153" s="17"/>
      <c r="K153" s="17">
        <f>SUM(Table1678[[#This Row],[Challenge 1]:[Challenge 50]])</f>
        <v>0</v>
      </c>
      <c r="L153" s="88">
        <f>SUM(Table1678[[#This Row],[Club 1]:[Club 50]])</f>
        <v>0</v>
      </c>
      <c r="M153" s="88">
        <f>SUM(Table1678[[#This Row],[Intra-school sports 1]:[Intra-school sports 50]])</f>
        <v>0</v>
      </c>
      <c r="N153" s="88">
        <f>SUM(Table1678[[#This Row],[Inter School sports 1]:[Inter School sports 50]])</f>
        <v>0</v>
      </c>
      <c r="O153" s="17">
        <f>COUNTIF(Table1678[[#This Row],[Community club (type name of club(s). All clubs will count as ''1'']],"*")</f>
        <v>0</v>
      </c>
      <c r="P153" s="17">
        <f>IF(OR(Table1678[[#This Row],[Total Challenges]]&gt;0,Table1678[[#This Row],[Total Ex-C Clubs]]&gt;0,Table1678[[#This Row],[Total Intra-School Sports]]&gt;0,Table1678[[#This Row],[Total Inter-School Sports]]&gt;0,Table1678[[#This Row],[Community Clubs]]&gt;0),1,0)</f>
        <v>0</v>
      </c>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21"/>
    </row>
    <row r="154" spans="1:218" x14ac:dyDescent="0.25">
      <c r="A154" s="17"/>
      <c r="B154" s="17"/>
      <c r="C154" s="17"/>
      <c r="D154" s="17"/>
      <c r="E154" s="17"/>
      <c r="F154" s="17"/>
      <c r="G154" s="17"/>
      <c r="H154" s="17"/>
      <c r="I154" s="17"/>
      <c r="J154" s="17"/>
      <c r="K154" s="17">
        <f>SUM(Table1678[[#This Row],[Challenge 1]:[Challenge 50]])</f>
        <v>0</v>
      </c>
      <c r="L154" s="88">
        <f>SUM(Table1678[[#This Row],[Club 1]:[Club 50]])</f>
        <v>0</v>
      </c>
      <c r="M154" s="88">
        <f>SUM(Table1678[[#This Row],[Intra-school sports 1]:[Intra-school sports 50]])</f>
        <v>0</v>
      </c>
      <c r="N154" s="88">
        <f>SUM(Table1678[[#This Row],[Inter School sports 1]:[Inter School sports 50]])</f>
        <v>0</v>
      </c>
      <c r="O154" s="17">
        <f>COUNTIF(Table1678[[#This Row],[Community club (type name of club(s). All clubs will count as ''1'']],"*")</f>
        <v>0</v>
      </c>
      <c r="P154" s="17">
        <f>IF(OR(Table1678[[#This Row],[Total Challenges]]&gt;0,Table1678[[#This Row],[Total Ex-C Clubs]]&gt;0,Table1678[[#This Row],[Total Intra-School Sports]]&gt;0,Table1678[[#This Row],[Total Inter-School Sports]]&gt;0,Table1678[[#This Row],[Community Clubs]]&gt;0),1,0)</f>
        <v>0</v>
      </c>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21"/>
    </row>
    <row r="155" spans="1:218" x14ac:dyDescent="0.25">
      <c r="A155" s="17"/>
      <c r="B155" s="17"/>
      <c r="C155" s="17"/>
      <c r="D155" s="17"/>
      <c r="E155" s="17"/>
      <c r="F155" s="17"/>
      <c r="G155" s="17"/>
      <c r="H155" s="17"/>
      <c r="I155" s="17"/>
      <c r="J155" s="17"/>
      <c r="K155" s="17">
        <f>SUM(Table1678[[#This Row],[Challenge 1]:[Challenge 50]])</f>
        <v>0</v>
      </c>
      <c r="L155" s="88">
        <f>SUM(Table1678[[#This Row],[Club 1]:[Club 50]])</f>
        <v>0</v>
      </c>
      <c r="M155" s="88">
        <f>SUM(Table1678[[#This Row],[Intra-school sports 1]:[Intra-school sports 50]])</f>
        <v>0</v>
      </c>
      <c r="N155" s="88">
        <f>SUM(Table1678[[#This Row],[Inter School sports 1]:[Inter School sports 50]])</f>
        <v>0</v>
      </c>
      <c r="O155" s="17">
        <f>COUNTIF(Table1678[[#This Row],[Community club (type name of club(s). All clubs will count as ''1'']],"*")</f>
        <v>0</v>
      </c>
      <c r="P155" s="17">
        <f>IF(OR(Table1678[[#This Row],[Total Challenges]]&gt;0,Table1678[[#This Row],[Total Ex-C Clubs]]&gt;0,Table1678[[#This Row],[Total Intra-School Sports]]&gt;0,Table1678[[#This Row],[Total Inter-School Sports]]&gt;0,Table1678[[#This Row],[Community Clubs]]&gt;0),1,0)</f>
        <v>0</v>
      </c>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21"/>
    </row>
    <row r="156" spans="1:218" x14ac:dyDescent="0.25">
      <c r="A156" s="17"/>
      <c r="B156" s="17"/>
      <c r="C156" s="17"/>
      <c r="D156" s="17"/>
      <c r="E156" s="17"/>
      <c r="F156" s="17"/>
      <c r="G156" s="17"/>
      <c r="H156" s="17"/>
      <c r="I156" s="17"/>
      <c r="J156" s="17"/>
      <c r="K156" s="17">
        <f>SUM(Table1678[[#This Row],[Challenge 1]:[Challenge 50]])</f>
        <v>0</v>
      </c>
      <c r="L156" s="88">
        <f>SUM(Table1678[[#This Row],[Club 1]:[Club 50]])</f>
        <v>0</v>
      </c>
      <c r="M156" s="88">
        <f>SUM(Table1678[[#This Row],[Intra-school sports 1]:[Intra-school sports 50]])</f>
        <v>0</v>
      </c>
      <c r="N156" s="88">
        <f>SUM(Table1678[[#This Row],[Inter School sports 1]:[Inter School sports 50]])</f>
        <v>0</v>
      </c>
      <c r="O156" s="17">
        <f>COUNTIF(Table1678[[#This Row],[Community club (type name of club(s). All clubs will count as ''1'']],"*")</f>
        <v>0</v>
      </c>
      <c r="P156" s="17">
        <f>IF(OR(Table1678[[#This Row],[Total Challenges]]&gt;0,Table1678[[#This Row],[Total Ex-C Clubs]]&gt;0,Table1678[[#This Row],[Total Intra-School Sports]]&gt;0,Table1678[[#This Row],[Total Inter-School Sports]]&gt;0,Table1678[[#This Row],[Community Clubs]]&gt;0),1,0)</f>
        <v>0</v>
      </c>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21"/>
    </row>
    <row r="157" spans="1:218" x14ac:dyDescent="0.25">
      <c r="A157" s="17"/>
      <c r="B157" s="17"/>
      <c r="C157" s="17"/>
      <c r="D157" s="17"/>
      <c r="E157" s="17"/>
      <c r="F157" s="17"/>
      <c r="G157" s="17"/>
      <c r="H157" s="17"/>
      <c r="I157" s="17"/>
      <c r="J157" s="17"/>
      <c r="K157" s="17">
        <f>SUM(Table1678[[#This Row],[Challenge 1]:[Challenge 50]])</f>
        <v>0</v>
      </c>
      <c r="L157" s="88">
        <f>SUM(Table1678[[#This Row],[Club 1]:[Club 50]])</f>
        <v>0</v>
      </c>
      <c r="M157" s="88">
        <f>SUM(Table1678[[#This Row],[Intra-school sports 1]:[Intra-school sports 50]])</f>
        <v>0</v>
      </c>
      <c r="N157" s="88">
        <f>SUM(Table1678[[#This Row],[Inter School sports 1]:[Inter School sports 50]])</f>
        <v>0</v>
      </c>
      <c r="O157" s="17">
        <f>COUNTIF(Table1678[[#This Row],[Community club (type name of club(s). All clubs will count as ''1'']],"*")</f>
        <v>0</v>
      </c>
      <c r="P157" s="17">
        <f>IF(OR(Table1678[[#This Row],[Total Challenges]]&gt;0,Table1678[[#This Row],[Total Ex-C Clubs]]&gt;0,Table1678[[#This Row],[Total Intra-School Sports]]&gt;0,Table1678[[#This Row],[Total Inter-School Sports]]&gt;0,Table1678[[#This Row],[Community Clubs]]&gt;0),1,0)</f>
        <v>0</v>
      </c>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21"/>
    </row>
    <row r="158" spans="1:218" x14ac:dyDescent="0.25">
      <c r="A158" s="17"/>
      <c r="B158" s="17"/>
      <c r="C158" s="17"/>
      <c r="D158" s="17"/>
      <c r="E158" s="17"/>
      <c r="F158" s="17"/>
      <c r="G158" s="17"/>
      <c r="H158" s="17"/>
      <c r="I158" s="17"/>
      <c r="J158" s="17"/>
      <c r="K158" s="17">
        <f>SUM(Table1678[[#This Row],[Challenge 1]:[Challenge 50]])</f>
        <v>0</v>
      </c>
      <c r="L158" s="88">
        <f>SUM(Table1678[[#This Row],[Club 1]:[Club 50]])</f>
        <v>0</v>
      </c>
      <c r="M158" s="88">
        <f>SUM(Table1678[[#This Row],[Intra-school sports 1]:[Intra-school sports 50]])</f>
        <v>0</v>
      </c>
      <c r="N158" s="88">
        <f>SUM(Table1678[[#This Row],[Inter School sports 1]:[Inter School sports 50]])</f>
        <v>0</v>
      </c>
      <c r="O158" s="17">
        <f>COUNTIF(Table1678[[#This Row],[Community club (type name of club(s). All clubs will count as ''1'']],"*")</f>
        <v>0</v>
      </c>
      <c r="P158" s="17">
        <f>IF(OR(Table1678[[#This Row],[Total Challenges]]&gt;0,Table1678[[#This Row],[Total Ex-C Clubs]]&gt;0,Table1678[[#This Row],[Total Intra-School Sports]]&gt;0,Table1678[[#This Row],[Total Inter-School Sports]]&gt;0,Table1678[[#This Row],[Community Clubs]]&gt;0),1,0)</f>
        <v>0</v>
      </c>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21"/>
    </row>
    <row r="159" spans="1:218" x14ac:dyDescent="0.25">
      <c r="A159" s="17"/>
      <c r="B159" s="17"/>
      <c r="C159" s="17"/>
      <c r="D159" s="17"/>
      <c r="E159" s="17"/>
      <c r="F159" s="17"/>
      <c r="G159" s="17"/>
      <c r="H159" s="17"/>
      <c r="I159" s="17"/>
      <c r="J159" s="17"/>
      <c r="K159" s="17">
        <f>SUM(Table1678[[#This Row],[Challenge 1]:[Challenge 50]])</f>
        <v>0</v>
      </c>
      <c r="L159" s="88">
        <f>SUM(Table1678[[#This Row],[Club 1]:[Club 50]])</f>
        <v>0</v>
      </c>
      <c r="M159" s="88">
        <f>SUM(Table1678[[#This Row],[Intra-school sports 1]:[Intra-school sports 50]])</f>
        <v>0</v>
      </c>
      <c r="N159" s="88">
        <f>SUM(Table1678[[#This Row],[Inter School sports 1]:[Inter School sports 50]])</f>
        <v>0</v>
      </c>
      <c r="O159" s="17">
        <f>COUNTIF(Table1678[[#This Row],[Community club (type name of club(s). All clubs will count as ''1'']],"*")</f>
        <v>0</v>
      </c>
      <c r="P159" s="17">
        <f>IF(OR(Table1678[[#This Row],[Total Challenges]]&gt;0,Table1678[[#This Row],[Total Ex-C Clubs]]&gt;0,Table1678[[#This Row],[Total Intra-School Sports]]&gt;0,Table1678[[#This Row],[Total Inter-School Sports]]&gt;0,Table1678[[#This Row],[Community Clubs]]&gt;0),1,0)</f>
        <v>0</v>
      </c>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21"/>
    </row>
    <row r="160" spans="1:218" x14ac:dyDescent="0.25">
      <c r="A160" s="17"/>
      <c r="B160" s="17"/>
      <c r="C160" s="17"/>
      <c r="D160" s="17"/>
      <c r="E160" s="17"/>
      <c r="F160" s="17"/>
      <c r="G160" s="17"/>
      <c r="H160" s="17"/>
      <c r="I160" s="17"/>
      <c r="J160" s="17"/>
      <c r="K160" s="17">
        <f>SUM(Table1678[[#This Row],[Challenge 1]:[Challenge 50]])</f>
        <v>0</v>
      </c>
      <c r="L160" s="88">
        <f>SUM(Table1678[[#This Row],[Club 1]:[Club 50]])</f>
        <v>0</v>
      </c>
      <c r="M160" s="88">
        <f>SUM(Table1678[[#This Row],[Intra-school sports 1]:[Intra-school sports 50]])</f>
        <v>0</v>
      </c>
      <c r="N160" s="88">
        <f>SUM(Table1678[[#This Row],[Inter School sports 1]:[Inter School sports 50]])</f>
        <v>0</v>
      </c>
      <c r="O160" s="17">
        <f>COUNTIF(Table1678[[#This Row],[Community club (type name of club(s). All clubs will count as ''1'']],"*")</f>
        <v>0</v>
      </c>
      <c r="P160" s="17">
        <f>IF(OR(Table1678[[#This Row],[Total Challenges]]&gt;0,Table1678[[#This Row],[Total Ex-C Clubs]]&gt;0,Table1678[[#This Row],[Total Intra-School Sports]]&gt;0,Table1678[[#This Row],[Total Inter-School Sports]]&gt;0,Table1678[[#This Row],[Community Clubs]]&gt;0),1,0)</f>
        <v>0</v>
      </c>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21"/>
    </row>
    <row r="161" spans="1:218" x14ac:dyDescent="0.25">
      <c r="A161" s="17"/>
      <c r="B161" s="17"/>
      <c r="C161" s="17"/>
      <c r="D161" s="17"/>
      <c r="E161" s="17"/>
      <c r="F161" s="17"/>
      <c r="G161" s="17"/>
      <c r="H161" s="17"/>
      <c r="I161" s="17"/>
      <c r="J161" s="17"/>
      <c r="K161" s="17">
        <f>SUM(Table1678[[#This Row],[Challenge 1]:[Challenge 50]])</f>
        <v>0</v>
      </c>
      <c r="L161" s="88">
        <f>SUM(Table1678[[#This Row],[Club 1]:[Club 50]])</f>
        <v>0</v>
      </c>
      <c r="M161" s="88">
        <f>SUM(Table1678[[#This Row],[Intra-school sports 1]:[Intra-school sports 50]])</f>
        <v>0</v>
      </c>
      <c r="N161" s="88">
        <f>SUM(Table1678[[#This Row],[Inter School sports 1]:[Inter School sports 50]])</f>
        <v>0</v>
      </c>
      <c r="O161" s="17">
        <f>COUNTIF(Table1678[[#This Row],[Community club (type name of club(s). All clubs will count as ''1'']],"*")</f>
        <v>0</v>
      </c>
      <c r="P161" s="17">
        <f>IF(OR(Table1678[[#This Row],[Total Challenges]]&gt;0,Table1678[[#This Row],[Total Ex-C Clubs]]&gt;0,Table1678[[#This Row],[Total Intra-School Sports]]&gt;0,Table1678[[#This Row],[Total Inter-School Sports]]&gt;0,Table1678[[#This Row],[Community Clubs]]&gt;0),1,0)</f>
        <v>0</v>
      </c>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21"/>
    </row>
    <row r="162" spans="1:218" x14ac:dyDescent="0.25">
      <c r="A162" s="17"/>
      <c r="B162" s="17"/>
      <c r="C162" s="17"/>
      <c r="D162" s="17"/>
      <c r="E162" s="17"/>
      <c r="F162" s="17"/>
      <c r="G162" s="17"/>
      <c r="H162" s="17"/>
      <c r="I162" s="17"/>
      <c r="J162" s="17"/>
      <c r="K162" s="17">
        <f>SUM(Table1678[[#This Row],[Challenge 1]:[Challenge 50]])</f>
        <v>0</v>
      </c>
      <c r="L162" s="88">
        <f>SUM(Table1678[[#This Row],[Club 1]:[Club 50]])</f>
        <v>0</v>
      </c>
      <c r="M162" s="88">
        <f>SUM(Table1678[[#This Row],[Intra-school sports 1]:[Intra-school sports 50]])</f>
        <v>0</v>
      </c>
      <c r="N162" s="88">
        <f>SUM(Table1678[[#This Row],[Inter School sports 1]:[Inter School sports 50]])</f>
        <v>0</v>
      </c>
      <c r="O162" s="17">
        <f>COUNTIF(Table1678[[#This Row],[Community club (type name of club(s). All clubs will count as ''1'']],"*")</f>
        <v>0</v>
      </c>
      <c r="P162" s="17">
        <f>IF(OR(Table1678[[#This Row],[Total Challenges]]&gt;0,Table1678[[#This Row],[Total Ex-C Clubs]]&gt;0,Table1678[[#This Row],[Total Intra-School Sports]]&gt;0,Table1678[[#This Row],[Total Inter-School Sports]]&gt;0,Table1678[[#This Row],[Community Clubs]]&gt;0),1,0)</f>
        <v>0</v>
      </c>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21"/>
    </row>
    <row r="163" spans="1:218" x14ac:dyDescent="0.25">
      <c r="A163" s="17"/>
      <c r="B163" s="17"/>
      <c r="C163" s="17"/>
      <c r="D163" s="17"/>
      <c r="E163" s="17"/>
      <c r="F163" s="17"/>
      <c r="G163" s="17"/>
      <c r="H163" s="17"/>
      <c r="I163" s="17"/>
      <c r="J163" s="17"/>
      <c r="K163" s="17">
        <f>SUM(Table1678[[#This Row],[Challenge 1]:[Challenge 50]])</f>
        <v>0</v>
      </c>
      <c r="L163" s="88">
        <f>SUM(Table1678[[#This Row],[Club 1]:[Club 50]])</f>
        <v>0</v>
      </c>
      <c r="M163" s="88">
        <f>SUM(Table1678[[#This Row],[Intra-school sports 1]:[Intra-school sports 50]])</f>
        <v>0</v>
      </c>
      <c r="N163" s="88">
        <f>SUM(Table1678[[#This Row],[Inter School sports 1]:[Inter School sports 50]])</f>
        <v>0</v>
      </c>
      <c r="O163" s="17">
        <f>COUNTIF(Table1678[[#This Row],[Community club (type name of club(s). All clubs will count as ''1'']],"*")</f>
        <v>0</v>
      </c>
      <c r="P163" s="17">
        <f>IF(OR(Table1678[[#This Row],[Total Challenges]]&gt;0,Table1678[[#This Row],[Total Ex-C Clubs]]&gt;0,Table1678[[#This Row],[Total Intra-School Sports]]&gt;0,Table1678[[#This Row],[Total Inter-School Sports]]&gt;0,Table1678[[#This Row],[Community Clubs]]&gt;0),1,0)</f>
        <v>0</v>
      </c>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21"/>
    </row>
    <row r="164" spans="1:218" x14ac:dyDescent="0.25">
      <c r="A164" s="17"/>
      <c r="B164" s="17"/>
      <c r="C164" s="17"/>
      <c r="D164" s="17"/>
      <c r="E164" s="17"/>
      <c r="F164" s="17"/>
      <c r="G164" s="17"/>
      <c r="H164" s="17"/>
      <c r="I164" s="17"/>
      <c r="J164" s="17"/>
      <c r="K164" s="17">
        <f>SUM(Table1678[[#This Row],[Challenge 1]:[Challenge 50]])</f>
        <v>0</v>
      </c>
      <c r="L164" s="88">
        <f>SUM(Table1678[[#This Row],[Club 1]:[Club 50]])</f>
        <v>0</v>
      </c>
      <c r="M164" s="88">
        <f>SUM(Table1678[[#This Row],[Intra-school sports 1]:[Intra-school sports 50]])</f>
        <v>0</v>
      </c>
      <c r="N164" s="88">
        <f>SUM(Table1678[[#This Row],[Inter School sports 1]:[Inter School sports 50]])</f>
        <v>0</v>
      </c>
      <c r="O164" s="17">
        <f>COUNTIF(Table1678[[#This Row],[Community club (type name of club(s). All clubs will count as ''1'']],"*")</f>
        <v>0</v>
      </c>
      <c r="P164" s="17">
        <f>IF(OR(Table1678[[#This Row],[Total Challenges]]&gt;0,Table1678[[#This Row],[Total Ex-C Clubs]]&gt;0,Table1678[[#This Row],[Total Intra-School Sports]]&gt;0,Table1678[[#This Row],[Total Inter-School Sports]]&gt;0,Table1678[[#This Row],[Community Clubs]]&gt;0),1,0)</f>
        <v>0</v>
      </c>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21"/>
    </row>
    <row r="165" spans="1:218" x14ac:dyDescent="0.25">
      <c r="A165" s="17"/>
      <c r="B165" s="17"/>
      <c r="C165" s="17"/>
      <c r="D165" s="17"/>
      <c r="E165" s="17"/>
      <c r="F165" s="17"/>
      <c r="G165" s="17"/>
      <c r="H165" s="17"/>
      <c r="I165" s="17"/>
      <c r="J165" s="17"/>
      <c r="K165" s="17">
        <f>SUM(Table1678[[#This Row],[Challenge 1]:[Challenge 50]])</f>
        <v>0</v>
      </c>
      <c r="L165" s="88">
        <f>SUM(Table1678[[#This Row],[Club 1]:[Club 50]])</f>
        <v>0</v>
      </c>
      <c r="M165" s="88">
        <f>SUM(Table1678[[#This Row],[Intra-school sports 1]:[Intra-school sports 50]])</f>
        <v>0</v>
      </c>
      <c r="N165" s="88">
        <f>SUM(Table1678[[#This Row],[Inter School sports 1]:[Inter School sports 50]])</f>
        <v>0</v>
      </c>
      <c r="O165" s="17">
        <f>COUNTIF(Table1678[[#This Row],[Community club (type name of club(s). All clubs will count as ''1'']],"*")</f>
        <v>0</v>
      </c>
      <c r="P165" s="17">
        <f>IF(OR(Table1678[[#This Row],[Total Challenges]]&gt;0,Table1678[[#This Row],[Total Ex-C Clubs]]&gt;0,Table1678[[#This Row],[Total Intra-School Sports]]&gt;0,Table1678[[#This Row],[Total Inter-School Sports]]&gt;0,Table1678[[#This Row],[Community Clubs]]&gt;0),1,0)</f>
        <v>0</v>
      </c>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21"/>
    </row>
    <row r="166" spans="1:218" x14ac:dyDescent="0.25">
      <c r="A166" s="17"/>
      <c r="B166" s="17"/>
      <c r="C166" s="17"/>
      <c r="D166" s="17"/>
      <c r="E166" s="17"/>
      <c r="F166" s="17"/>
      <c r="G166" s="17"/>
      <c r="H166" s="17"/>
      <c r="I166" s="17"/>
      <c r="J166" s="17"/>
      <c r="K166" s="17">
        <f>SUM(Table1678[[#This Row],[Challenge 1]:[Challenge 50]])</f>
        <v>0</v>
      </c>
      <c r="L166" s="88">
        <f>SUM(Table1678[[#This Row],[Club 1]:[Club 50]])</f>
        <v>0</v>
      </c>
      <c r="M166" s="88">
        <f>SUM(Table1678[[#This Row],[Intra-school sports 1]:[Intra-school sports 50]])</f>
        <v>0</v>
      </c>
      <c r="N166" s="88">
        <f>SUM(Table1678[[#This Row],[Inter School sports 1]:[Inter School sports 50]])</f>
        <v>0</v>
      </c>
      <c r="O166" s="17">
        <f>COUNTIF(Table1678[[#This Row],[Community club (type name of club(s). All clubs will count as ''1'']],"*")</f>
        <v>0</v>
      </c>
      <c r="P166" s="17">
        <f>IF(OR(Table1678[[#This Row],[Total Challenges]]&gt;0,Table1678[[#This Row],[Total Ex-C Clubs]]&gt;0,Table1678[[#This Row],[Total Intra-School Sports]]&gt;0,Table1678[[#This Row],[Total Inter-School Sports]]&gt;0,Table1678[[#This Row],[Community Clubs]]&gt;0),1,0)</f>
        <v>0</v>
      </c>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21"/>
    </row>
    <row r="167" spans="1:218" x14ac:dyDescent="0.25">
      <c r="A167" s="17"/>
      <c r="B167" s="17"/>
      <c r="C167" s="17"/>
      <c r="D167" s="17"/>
      <c r="E167" s="17"/>
      <c r="F167" s="17"/>
      <c r="G167" s="17"/>
      <c r="H167" s="17"/>
      <c r="I167" s="17"/>
      <c r="J167" s="17"/>
      <c r="K167" s="17">
        <f>SUM(Table1678[[#This Row],[Challenge 1]:[Challenge 50]])</f>
        <v>0</v>
      </c>
      <c r="L167" s="88">
        <f>SUM(Table1678[[#This Row],[Club 1]:[Club 50]])</f>
        <v>0</v>
      </c>
      <c r="M167" s="88">
        <f>SUM(Table1678[[#This Row],[Intra-school sports 1]:[Intra-school sports 50]])</f>
        <v>0</v>
      </c>
      <c r="N167" s="88">
        <f>SUM(Table1678[[#This Row],[Inter School sports 1]:[Inter School sports 50]])</f>
        <v>0</v>
      </c>
      <c r="O167" s="17">
        <f>COUNTIF(Table1678[[#This Row],[Community club (type name of club(s). All clubs will count as ''1'']],"*")</f>
        <v>0</v>
      </c>
      <c r="P167" s="17">
        <f>IF(OR(Table1678[[#This Row],[Total Challenges]]&gt;0,Table1678[[#This Row],[Total Ex-C Clubs]]&gt;0,Table1678[[#This Row],[Total Intra-School Sports]]&gt;0,Table1678[[#This Row],[Total Inter-School Sports]]&gt;0,Table1678[[#This Row],[Community Clubs]]&gt;0),1,0)</f>
        <v>0</v>
      </c>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21"/>
    </row>
    <row r="168" spans="1:218" x14ac:dyDescent="0.25">
      <c r="A168" s="17"/>
      <c r="B168" s="17"/>
      <c r="C168" s="17"/>
      <c r="D168" s="17"/>
      <c r="E168" s="17"/>
      <c r="F168" s="17"/>
      <c r="G168" s="17"/>
      <c r="H168" s="17"/>
      <c r="I168" s="17"/>
      <c r="J168" s="17"/>
      <c r="K168" s="17">
        <f>SUM(Table1678[[#This Row],[Challenge 1]:[Challenge 50]])</f>
        <v>0</v>
      </c>
      <c r="L168" s="88">
        <f>SUM(Table1678[[#This Row],[Club 1]:[Club 50]])</f>
        <v>0</v>
      </c>
      <c r="M168" s="88">
        <f>SUM(Table1678[[#This Row],[Intra-school sports 1]:[Intra-school sports 50]])</f>
        <v>0</v>
      </c>
      <c r="N168" s="88">
        <f>SUM(Table1678[[#This Row],[Inter School sports 1]:[Inter School sports 50]])</f>
        <v>0</v>
      </c>
      <c r="O168" s="17">
        <f>COUNTIF(Table1678[[#This Row],[Community club (type name of club(s). All clubs will count as ''1'']],"*")</f>
        <v>0</v>
      </c>
      <c r="P168" s="17">
        <f>IF(OR(Table1678[[#This Row],[Total Challenges]]&gt;0,Table1678[[#This Row],[Total Ex-C Clubs]]&gt;0,Table1678[[#This Row],[Total Intra-School Sports]]&gt;0,Table1678[[#This Row],[Total Inter-School Sports]]&gt;0,Table1678[[#This Row],[Community Clubs]]&gt;0),1,0)</f>
        <v>0</v>
      </c>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21"/>
    </row>
    <row r="169" spans="1:218" x14ac:dyDescent="0.25">
      <c r="K169" s="91">
        <f>SUM(Table1678[[#This Row],[Challenge 1]:[Challenge 50]])</f>
        <v>0</v>
      </c>
      <c r="L169" s="2">
        <f>SUM(Table1678[[#This Row],[Club 1]:[Club 50]])</f>
        <v>0</v>
      </c>
      <c r="M169" s="2">
        <f>SUM(Table1678[[#This Row],[Intra-school sports 1]:[Intra-school sports 50]])</f>
        <v>0</v>
      </c>
      <c r="N169" s="2">
        <f>SUM(Table1678[[#This Row],[Inter School sports 1]:[Inter School sports 50]])</f>
        <v>0</v>
      </c>
      <c r="O169" s="91">
        <f>COUNTIF(Table1678[[#This Row],[Community club (type name of club(s). All clubs will count as ''1'']],"*")</f>
        <v>0</v>
      </c>
      <c r="P169" s="17">
        <f>IF(OR(Table1678[[#This Row],[Total Challenges]]&gt;0,Table1678[[#This Row],[Total Ex-C Clubs]]&gt;0,Table1678[[#This Row],[Total Intra-School Sports]]&gt;0,Table1678[[#This Row],[Total Inter-School Sports]]&gt;0,Table1678[[#This Row],[Community Clubs]]&gt;0),1,0)</f>
        <v>0</v>
      </c>
      <c r="HI169"/>
      <c r="HJ169" s="19"/>
    </row>
    <row r="170" spans="1:218" x14ac:dyDescent="0.25">
      <c r="K170" s="91">
        <f>SUM(Table1678[[#This Row],[Challenge 1]:[Challenge 50]])</f>
        <v>0</v>
      </c>
      <c r="L170" s="2">
        <f>SUM(Table1678[[#This Row],[Club 1]:[Club 50]])</f>
        <v>0</v>
      </c>
      <c r="M170" s="2">
        <f>SUM(Table1678[[#This Row],[Intra-school sports 1]:[Intra-school sports 50]])</f>
        <v>0</v>
      </c>
      <c r="N170" s="2">
        <f>SUM(Table1678[[#This Row],[Inter School sports 1]:[Inter School sports 50]])</f>
        <v>0</v>
      </c>
      <c r="O170" s="91">
        <f>COUNTIF(Table1678[[#This Row],[Community club (type name of club(s). All clubs will count as ''1'']],"*")</f>
        <v>0</v>
      </c>
      <c r="P170" s="17">
        <f>IF(OR(Table1678[[#This Row],[Total Challenges]]&gt;0,Table1678[[#This Row],[Total Ex-C Clubs]]&gt;0,Table1678[[#This Row],[Total Intra-School Sports]]&gt;0,Table1678[[#This Row],[Total Inter-School Sports]]&gt;0,Table1678[[#This Row],[Community Clubs]]&gt;0),1,0)</f>
        <v>0</v>
      </c>
      <c r="HI170"/>
      <c r="HJ170" s="19"/>
    </row>
    <row r="171" spans="1:218" x14ac:dyDescent="0.25">
      <c r="K171" s="91">
        <f>SUM(Table1678[[#This Row],[Challenge 1]:[Challenge 50]])</f>
        <v>0</v>
      </c>
      <c r="L171" s="2">
        <f>SUM(Table1678[[#This Row],[Club 1]:[Club 50]])</f>
        <v>0</v>
      </c>
      <c r="M171" s="2">
        <f>SUM(Table1678[[#This Row],[Intra-school sports 1]:[Intra-school sports 50]])</f>
        <v>0</v>
      </c>
      <c r="N171" s="2">
        <f>SUM(Table1678[[#This Row],[Inter School sports 1]:[Inter School sports 50]])</f>
        <v>0</v>
      </c>
      <c r="O171" s="91">
        <f>COUNTIF(Table1678[[#This Row],[Community club (type name of club(s). All clubs will count as ''1'']],"*")</f>
        <v>0</v>
      </c>
      <c r="P171" s="17">
        <f>IF(OR(Table1678[[#This Row],[Total Challenges]]&gt;0,Table1678[[#This Row],[Total Ex-C Clubs]]&gt;0,Table1678[[#This Row],[Total Intra-School Sports]]&gt;0,Table1678[[#This Row],[Total Inter-School Sports]]&gt;0,Table1678[[#This Row],[Community Clubs]]&gt;0),1,0)</f>
        <v>0</v>
      </c>
      <c r="HI171"/>
      <c r="HJ171" s="19"/>
    </row>
    <row r="172" spans="1:218" x14ac:dyDescent="0.25">
      <c r="K172" s="91">
        <f>SUM(Table1678[[#This Row],[Challenge 1]:[Challenge 50]])</f>
        <v>0</v>
      </c>
      <c r="L172" s="2">
        <f>SUM(Table1678[[#This Row],[Club 1]:[Club 50]])</f>
        <v>0</v>
      </c>
      <c r="M172" s="2">
        <f>SUM(Table1678[[#This Row],[Intra-school sports 1]:[Intra-school sports 50]])</f>
        <v>0</v>
      </c>
      <c r="N172" s="2">
        <f>SUM(Table1678[[#This Row],[Inter School sports 1]:[Inter School sports 50]])</f>
        <v>0</v>
      </c>
      <c r="O172" s="91">
        <f>COUNTIF(Table1678[[#This Row],[Community club (type name of club(s). All clubs will count as ''1'']],"*")</f>
        <v>0</v>
      </c>
      <c r="P172" s="17">
        <f>IF(OR(Table1678[[#This Row],[Total Challenges]]&gt;0,Table1678[[#This Row],[Total Ex-C Clubs]]&gt;0,Table1678[[#This Row],[Total Intra-School Sports]]&gt;0,Table1678[[#This Row],[Total Inter-School Sports]]&gt;0,Table1678[[#This Row],[Community Clubs]]&gt;0),1,0)</f>
        <v>0</v>
      </c>
      <c r="HI172"/>
      <c r="HJ172" s="19"/>
    </row>
    <row r="173" spans="1:218" x14ac:dyDescent="0.25">
      <c r="K173" s="91">
        <f>SUM(Table1678[[#This Row],[Challenge 1]:[Challenge 50]])</f>
        <v>0</v>
      </c>
      <c r="L173" s="2">
        <f>SUM(Table1678[[#This Row],[Club 1]:[Club 50]])</f>
        <v>0</v>
      </c>
      <c r="M173" s="2">
        <f>SUM(Table1678[[#This Row],[Intra-school sports 1]:[Intra-school sports 50]])</f>
        <v>0</v>
      </c>
      <c r="N173" s="2">
        <f>SUM(Table1678[[#This Row],[Inter School sports 1]:[Inter School sports 50]])</f>
        <v>0</v>
      </c>
      <c r="O173" s="91">
        <f>COUNTIF(Table1678[[#This Row],[Community club (type name of club(s). All clubs will count as ''1'']],"*")</f>
        <v>0</v>
      </c>
      <c r="P173" s="17">
        <f>IF(OR(Table1678[[#This Row],[Total Challenges]]&gt;0,Table1678[[#This Row],[Total Ex-C Clubs]]&gt;0,Table1678[[#This Row],[Total Intra-School Sports]]&gt;0,Table1678[[#This Row],[Total Inter-School Sports]]&gt;0,Table1678[[#This Row],[Community Clubs]]&gt;0),1,0)</f>
        <v>0</v>
      </c>
      <c r="HI173"/>
      <c r="HJ173" s="19"/>
    </row>
    <row r="174" spans="1:218" x14ac:dyDescent="0.25">
      <c r="K174" s="91">
        <f>SUM(Table1678[[#This Row],[Challenge 1]:[Challenge 50]])</f>
        <v>0</v>
      </c>
      <c r="L174" s="2">
        <f>SUM(Table1678[[#This Row],[Club 1]:[Club 50]])</f>
        <v>0</v>
      </c>
      <c r="M174" s="2">
        <f>SUM(Table1678[[#This Row],[Intra-school sports 1]:[Intra-school sports 50]])</f>
        <v>0</v>
      </c>
      <c r="N174" s="2">
        <f>SUM(Table1678[[#This Row],[Inter School sports 1]:[Inter School sports 50]])</f>
        <v>0</v>
      </c>
      <c r="O174" s="91">
        <f>COUNTIF(Table1678[[#This Row],[Community club (type name of club(s). All clubs will count as ''1'']],"*")</f>
        <v>0</v>
      </c>
      <c r="P174" s="17">
        <f>IF(OR(Table1678[[#This Row],[Total Challenges]]&gt;0,Table1678[[#This Row],[Total Ex-C Clubs]]&gt;0,Table1678[[#This Row],[Total Intra-School Sports]]&gt;0,Table1678[[#This Row],[Total Inter-School Sports]]&gt;0,Table1678[[#This Row],[Community Clubs]]&gt;0),1,0)</f>
        <v>0</v>
      </c>
      <c r="HI174"/>
      <c r="HJ174" s="19"/>
    </row>
    <row r="175" spans="1:218" x14ac:dyDescent="0.25">
      <c r="K175" s="91">
        <f>SUM(Table1678[[#This Row],[Challenge 1]:[Challenge 50]])</f>
        <v>0</v>
      </c>
      <c r="L175" s="2">
        <f>SUM(Table1678[[#This Row],[Club 1]:[Club 50]])</f>
        <v>0</v>
      </c>
      <c r="M175" s="2">
        <f>SUM(Table1678[[#This Row],[Intra-school sports 1]:[Intra-school sports 50]])</f>
        <v>0</v>
      </c>
      <c r="N175" s="2">
        <f>SUM(Table1678[[#This Row],[Inter School sports 1]:[Inter School sports 50]])</f>
        <v>0</v>
      </c>
      <c r="O175" s="91">
        <f>COUNTIF(Table1678[[#This Row],[Community club (type name of club(s). All clubs will count as ''1'']],"*")</f>
        <v>0</v>
      </c>
      <c r="P175" s="17">
        <f>IF(OR(Table1678[[#This Row],[Total Challenges]]&gt;0,Table1678[[#This Row],[Total Ex-C Clubs]]&gt;0,Table1678[[#This Row],[Total Intra-School Sports]]&gt;0,Table1678[[#This Row],[Total Inter-School Sports]]&gt;0,Table1678[[#This Row],[Community Clubs]]&gt;0),1,0)</f>
        <v>0</v>
      </c>
      <c r="HI175"/>
      <c r="HJ175" s="19"/>
    </row>
    <row r="176" spans="1:218" x14ac:dyDescent="0.25">
      <c r="K176" s="91">
        <f>SUM(Table1678[[#This Row],[Challenge 1]:[Challenge 50]])</f>
        <v>0</v>
      </c>
      <c r="L176" s="2">
        <f>SUM(Table1678[[#This Row],[Club 1]:[Club 50]])</f>
        <v>0</v>
      </c>
      <c r="M176" s="2">
        <f>SUM(Table1678[[#This Row],[Intra-school sports 1]:[Intra-school sports 50]])</f>
        <v>0</v>
      </c>
      <c r="N176" s="2">
        <f>SUM(Table1678[[#This Row],[Inter School sports 1]:[Inter School sports 50]])</f>
        <v>0</v>
      </c>
      <c r="O176" s="91">
        <f>COUNTIF(Table1678[[#This Row],[Community club (type name of club(s). All clubs will count as ''1'']],"*")</f>
        <v>0</v>
      </c>
      <c r="P176" s="17">
        <f>IF(OR(Table1678[[#This Row],[Total Challenges]]&gt;0,Table1678[[#This Row],[Total Ex-C Clubs]]&gt;0,Table1678[[#This Row],[Total Intra-School Sports]]&gt;0,Table1678[[#This Row],[Total Inter-School Sports]]&gt;0,Table1678[[#This Row],[Community Clubs]]&gt;0),1,0)</f>
        <v>0</v>
      </c>
      <c r="HI176"/>
      <c r="HJ176" s="19"/>
    </row>
    <row r="177" spans="11:218" x14ac:dyDescent="0.25">
      <c r="K177" s="91">
        <f>SUM(Table1678[[#This Row],[Challenge 1]:[Challenge 50]])</f>
        <v>0</v>
      </c>
      <c r="L177" s="2">
        <f>SUM(Table1678[[#This Row],[Club 1]:[Club 50]])</f>
        <v>0</v>
      </c>
      <c r="M177" s="2">
        <f>SUM(Table1678[[#This Row],[Intra-school sports 1]:[Intra-school sports 50]])</f>
        <v>0</v>
      </c>
      <c r="N177" s="2">
        <f>SUM(Table1678[[#This Row],[Inter School sports 1]:[Inter School sports 50]])</f>
        <v>0</v>
      </c>
      <c r="O177" s="91">
        <f>COUNTIF(Table1678[[#This Row],[Community club (type name of club(s). All clubs will count as ''1'']],"*")</f>
        <v>0</v>
      </c>
      <c r="P177" s="17">
        <f>IF(OR(Table1678[[#This Row],[Total Challenges]]&gt;0,Table1678[[#This Row],[Total Ex-C Clubs]]&gt;0,Table1678[[#This Row],[Total Intra-School Sports]]&gt;0,Table1678[[#This Row],[Total Inter-School Sports]]&gt;0,Table1678[[#This Row],[Community Clubs]]&gt;0),1,0)</f>
        <v>0</v>
      </c>
      <c r="HI177"/>
      <c r="HJ177" s="19"/>
    </row>
    <row r="178" spans="11:218" x14ac:dyDescent="0.25">
      <c r="K178" s="91">
        <f>SUM(Table1678[[#This Row],[Challenge 1]:[Challenge 50]])</f>
        <v>0</v>
      </c>
      <c r="L178" s="2">
        <f>SUM(Table1678[[#This Row],[Club 1]:[Club 50]])</f>
        <v>0</v>
      </c>
      <c r="M178" s="2">
        <f>SUM(Table1678[[#This Row],[Intra-school sports 1]:[Intra-school sports 50]])</f>
        <v>0</v>
      </c>
      <c r="N178" s="2">
        <f>SUM(Table1678[[#This Row],[Inter School sports 1]:[Inter School sports 50]])</f>
        <v>0</v>
      </c>
      <c r="O178" s="91">
        <f>COUNTIF(Table1678[[#This Row],[Community club (type name of club(s). All clubs will count as ''1'']],"*")</f>
        <v>0</v>
      </c>
      <c r="P178" s="17">
        <f>IF(OR(Table1678[[#This Row],[Total Challenges]]&gt;0,Table1678[[#This Row],[Total Ex-C Clubs]]&gt;0,Table1678[[#This Row],[Total Intra-School Sports]]&gt;0,Table1678[[#This Row],[Total Inter-School Sports]]&gt;0,Table1678[[#This Row],[Community Clubs]]&gt;0),1,0)</f>
        <v>0</v>
      </c>
      <c r="HI178"/>
      <c r="HJ178" s="19"/>
    </row>
    <row r="179" spans="11:218" x14ac:dyDescent="0.25">
      <c r="K179" s="91">
        <f>SUM(Table1678[[#This Row],[Challenge 1]:[Challenge 50]])</f>
        <v>0</v>
      </c>
      <c r="L179" s="2">
        <f>SUM(Table1678[[#This Row],[Club 1]:[Club 50]])</f>
        <v>0</v>
      </c>
      <c r="M179" s="2">
        <f>SUM(Table1678[[#This Row],[Intra-school sports 1]:[Intra-school sports 50]])</f>
        <v>0</v>
      </c>
      <c r="N179" s="2">
        <f>SUM(Table1678[[#This Row],[Inter School sports 1]:[Inter School sports 50]])</f>
        <v>0</v>
      </c>
      <c r="O179" s="91">
        <f>COUNTIF(Table1678[[#This Row],[Community club (type name of club(s). All clubs will count as ''1'']],"*")</f>
        <v>0</v>
      </c>
      <c r="P179" s="17">
        <f>IF(OR(Table1678[[#This Row],[Total Challenges]]&gt;0,Table1678[[#This Row],[Total Ex-C Clubs]]&gt;0,Table1678[[#This Row],[Total Intra-School Sports]]&gt;0,Table1678[[#This Row],[Total Inter-School Sports]]&gt;0,Table1678[[#This Row],[Community Clubs]]&gt;0),1,0)</f>
        <v>0</v>
      </c>
      <c r="HI179"/>
      <c r="HJ179" s="19"/>
    </row>
    <row r="180" spans="11:218" x14ac:dyDescent="0.25">
      <c r="K180" s="91">
        <f>SUM(Table1678[[#This Row],[Challenge 1]:[Challenge 50]])</f>
        <v>0</v>
      </c>
      <c r="L180" s="2">
        <f>SUM(Table1678[[#This Row],[Club 1]:[Club 50]])</f>
        <v>0</v>
      </c>
      <c r="M180" s="2">
        <f>SUM(Table1678[[#This Row],[Intra-school sports 1]:[Intra-school sports 50]])</f>
        <v>0</v>
      </c>
      <c r="N180" s="2">
        <f>SUM(Table1678[[#This Row],[Inter School sports 1]:[Inter School sports 50]])</f>
        <v>0</v>
      </c>
      <c r="O180" s="91">
        <f>COUNTIF(Table1678[[#This Row],[Community club (type name of club(s). All clubs will count as ''1'']],"*")</f>
        <v>0</v>
      </c>
      <c r="P180" s="17">
        <f>IF(OR(Table1678[[#This Row],[Total Challenges]]&gt;0,Table1678[[#This Row],[Total Ex-C Clubs]]&gt;0,Table1678[[#This Row],[Total Intra-School Sports]]&gt;0,Table1678[[#This Row],[Total Inter-School Sports]]&gt;0,Table1678[[#This Row],[Community Clubs]]&gt;0),1,0)</f>
        <v>0</v>
      </c>
      <c r="HI180"/>
      <c r="HJ180" s="19"/>
    </row>
    <row r="181" spans="11:218" x14ac:dyDescent="0.25">
      <c r="K181" s="91">
        <f>SUM(Table1678[[#This Row],[Challenge 1]:[Challenge 50]])</f>
        <v>0</v>
      </c>
      <c r="L181" s="2">
        <f>SUM(Table1678[[#This Row],[Club 1]:[Club 50]])</f>
        <v>0</v>
      </c>
      <c r="M181" s="2">
        <f>SUM(Table1678[[#This Row],[Intra-school sports 1]:[Intra-school sports 50]])</f>
        <v>0</v>
      </c>
      <c r="N181" s="2">
        <f>SUM(Table1678[[#This Row],[Inter School sports 1]:[Inter School sports 50]])</f>
        <v>0</v>
      </c>
      <c r="O181" s="91">
        <f>COUNTIF(Table1678[[#This Row],[Community club (type name of club(s). All clubs will count as ''1'']],"*")</f>
        <v>0</v>
      </c>
      <c r="P181" s="17">
        <f>IF(OR(Table1678[[#This Row],[Total Challenges]]&gt;0,Table1678[[#This Row],[Total Ex-C Clubs]]&gt;0,Table1678[[#This Row],[Total Intra-School Sports]]&gt;0,Table1678[[#This Row],[Total Inter-School Sports]]&gt;0,Table1678[[#This Row],[Community Clubs]]&gt;0),1,0)</f>
        <v>0</v>
      </c>
      <c r="HI181"/>
      <c r="HJ181" s="19"/>
    </row>
    <row r="182" spans="11:218" x14ac:dyDescent="0.25">
      <c r="K182" s="91">
        <f>SUM(Table1678[[#This Row],[Challenge 1]:[Challenge 50]])</f>
        <v>0</v>
      </c>
      <c r="L182" s="2">
        <f>SUM(Table1678[[#This Row],[Club 1]:[Club 50]])</f>
        <v>0</v>
      </c>
      <c r="M182" s="2">
        <f>SUM(Table1678[[#This Row],[Intra-school sports 1]:[Intra-school sports 50]])</f>
        <v>0</v>
      </c>
      <c r="N182" s="2">
        <f>SUM(Table1678[[#This Row],[Inter School sports 1]:[Inter School sports 50]])</f>
        <v>0</v>
      </c>
      <c r="O182" s="91">
        <f>COUNTIF(Table1678[[#This Row],[Community club (type name of club(s). All clubs will count as ''1'']],"*")</f>
        <v>0</v>
      </c>
      <c r="P182" s="17">
        <f>IF(OR(Table1678[[#This Row],[Total Challenges]]&gt;0,Table1678[[#This Row],[Total Ex-C Clubs]]&gt;0,Table1678[[#This Row],[Total Intra-School Sports]]&gt;0,Table1678[[#This Row],[Total Inter-School Sports]]&gt;0,Table1678[[#This Row],[Community Clubs]]&gt;0),1,0)</f>
        <v>0</v>
      </c>
      <c r="HI182"/>
      <c r="HJ182" s="19"/>
    </row>
    <row r="183" spans="11:218" x14ac:dyDescent="0.25">
      <c r="K183" s="91">
        <f>SUM(Table1678[[#This Row],[Challenge 1]:[Challenge 50]])</f>
        <v>0</v>
      </c>
      <c r="L183" s="2">
        <f>SUM(Table1678[[#This Row],[Club 1]:[Club 50]])</f>
        <v>0</v>
      </c>
      <c r="M183" s="2">
        <f>SUM(Table1678[[#This Row],[Intra-school sports 1]:[Intra-school sports 50]])</f>
        <v>0</v>
      </c>
      <c r="N183" s="2">
        <f>SUM(Table1678[[#This Row],[Inter School sports 1]:[Inter School sports 50]])</f>
        <v>0</v>
      </c>
      <c r="O183" s="91">
        <f>COUNTIF(Table1678[[#This Row],[Community club (type name of club(s). All clubs will count as ''1'']],"*")</f>
        <v>0</v>
      </c>
      <c r="P183" s="17">
        <f>IF(OR(Table1678[[#This Row],[Total Challenges]]&gt;0,Table1678[[#This Row],[Total Ex-C Clubs]]&gt;0,Table1678[[#This Row],[Total Intra-School Sports]]&gt;0,Table1678[[#This Row],[Total Inter-School Sports]]&gt;0,Table1678[[#This Row],[Community Clubs]]&gt;0),1,0)</f>
        <v>0</v>
      </c>
      <c r="HI183"/>
      <c r="HJ183" s="19"/>
    </row>
    <row r="184" spans="11:218" x14ac:dyDescent="0.25">
      <c r="K184" s="91">
        <f>SUM(Table1678[[#This Row],[Challenge 1]:[Challenge 50]])</f>
        <v>0</v>
      </c>
      <c r="L184" s="2">
        <f>SUM(Table1678[[#This Row],[Club 1]:[Club 50]])</f>
        <v>0</v>
      </c>
      <c r="M184" s="2">
        <f>SUM(Table1678[[#This Row],[Intra-school sports 1]:[Intra-school sports 50]])</f>
        <v>0</v>
      </c>
      <c r="N184" s="2">
        <f>SUM(Table1678[[#This Row],[Inter School sports 1]:[Inter School sports 50]])</f>
        <v>0</v>
      </c>
      <c r="O184" s="91">
        <f>COUNTIF(Table1678[[#This Row],[Community club (type name of club(s). All clubs will count as ''1'']],"*")</f>
        <v>0</v>
      </c>
      <c r="P184" s="17">
        <f>IF(OR(Table1678[[#This Row],[Total Challenges]]&gt;0,Table1678[[#This Row],[Total Ex-C Clubs]]&gt;0,Table1678[[#This Row],[Total Intra-School Sports]]&gt;0,Table1678[[#This Row],[Total Inter-School Sports]]&gt;0,Table1678[[#This Row],[Community Clubs]]&gt;0),1,0)</f>
        <v>0</v>
      </c>
      <c r="HI184"/>
      <c r="HJ184" s="19"/>
    </row>
    <row r="185" spans="11:218" x14ac:dyDescent="0.25">
      <c r="K185" s="91">
        <f>SUM(Table1678[[#This Row],[Challenge 1]:[Challenge 50]])</f>
        <v>0</v>
      </c>
      <c r="L185" s="2">
        <f>SUM(Table1678[[#This Row],[Club 1]:[Club 50]])</f>
        <v>0</v>
      </c>
      <c r="M185" s="2">
        <f>SUM(Table1678[[#This Row],[Intra-school sports 1]:[Intra-school sports 50]])</f>
        <v>0</v>
      </c>
      <c r="N185" s="2">
        <f>SUM(Table1678[[#This Row],[Inter School sports 1]:[Inter School sports 50]])</f>
        <v>0</v>
      </c>
      <c r="O185" s="91">
        <f>COUNTIF(Table1678[[#This Row],[Community club (type name of club(s). All clubs will count as ''1'']],"*")</f>
        <v>0</v>
      </c>
      <c r="P185" s="17">
        <f>IF(OR(Table1678[[#This Row],[Total Challenges]]&gt;0,Table1678[[#This Row],[Total Ex-C Clubs]]&gt;0,Table1678[[#This Row],[Total Intra-School Sports]]&gt;0,Table1678[[#This Row],[Total Inter-School Sports]]&gt;0,Table1678[[#This Row],[Community Clubs]]&gt;0),1,0)</f>
        <v>0</v>
      </c>
      <c r="HI185"/>
      <c r="HJ185" s="19"/>
    </row>
    <row r="186" spans="11:218" x14ac:dyDescent="0.25">
      <c r="K186" s="91">
        <f>SUM(Table1678[[#This Row],[Challenge 1]:[Challenge 50]])</f>
        <v>0</v>
      </c>
      <c r="L186" s="2">
        <f>SUM(Table1678[[#This Row],[Club 1]:[Club 50]])</f>
        <v>0</v>
      </c>
      <c r="M186" s="2">
        <f>SUM(Table1678[[#This Row],[Intra-school sports 1]:[Intra-school sports 50]])</f>
        <v>0</v>
      </c>
      <c r="N186" s="2">
        <f>SUM(Table1678[[#This Row],[Inter School sports 1]:[Inter School sports 50]])</f>
        <v>0</v>
      </c>
      <c r="O186" s="91">
        <f>COUNTIF(Table1678[[#This Row],[Community club (type name of club(s). All clubs will count as ''1'']],"*")</f>
        <v>0</v>
      </c>
      <c r="P186" s="17">
        <f>IF(OR(Table1678[[#This Row],[Total Challenges]]&gt;0,Table1678[[#This Row],[Total Ex-C Clubs]]&gt;0,Table1678[[#This Row],[Total Intra-School Sports]]&gt;0,Table1678[[#This Row],[Total Inter-School Sports]]&gt;0,Table1678[[#This Row],[Community Clubs]]&gt;0),1,0)</f>
        <v>0</v>
      </c>
      <c r="HI186"/>
      <c r="HJ186" s="19"/>
    </row>
    <row r="187" spans="11:218" x14ac:dyDescent="0.25">
      <c r="K187" s="91">
        <f>SUM(Table1678[[#This Row],[Challenge 1]:[Challenge 50]])</f>
        <v>0</v>
      </c>
      <c r="L187" s="2">
        <f>SUM(Table1678[[#This Row],[Club 1]:[Club 50]])</f>
        <v>0</v>
      </c>
      <c r="M187" s="2">
        <f>SUM(Table1678[[#This Row],[Intra-school sports 1]:[Intra-school sports 50]])</f>
        <v>0</v>
      </c>
      <c r="N187" s="2">
        <f>SUM(Table1678[[#This Row],[Inter School sports 1]:[Inter School sports 50]])</f>
        <v>0</v>
      </c>
      <c r="O187" s="91">
        <f>COUNTIF(Table1678[[#This Row],[Community club (type name of club(s). All clubs will count as ''1'']],"*")</f>
        <v>0</v>
      </c>
      <c r="P187" s="17">
        <f>IF(OR(Table1678[[#This Row],[Total Challenges]]&gt;0,Table1678[[#This Row],[Total Ex-C Clubs]]&gt;0,Table1678[[#This Row],[Total Intra-School Sports]]&gt;0,Table1678[[#This Row],[Total Inter-School Sports]]&gt;0,Table1678[[#This Row],[Community Clubs]]&gt;0),1,0)</f>
        <v>0</v>
      </c>
      <c r="HI187"/>
      <c r="HJ187" s="19"/>
    </row>
    <row r="188" spans="11:218" x14ac:dyDescent="0.25">
      <c r="K188" s="91">
        <f>SUM(Table1678[[#This Row],[Challenge 1]:[Challenge 50]])</f>
        <v>0</v>
      </c>
      <c r="L188" s="2">
        <f>SUM(Table1678[[#This Row],[Club 1]:[Club 50]])</f>
        <v>0</v>
      </c>
      <c r="M188" s="2">
        <f>SUM(Table1678[[#This Row],[Intra-school sports 1]:[Intra-school sports 50]])</f>
        <v>0</v>
      </c>
      <c r="N188" s="2">
        <f>SUM(Table1678[[#This Row],[Inter School sports 1]:[Inter School sports 50]])</f>
        <v>0</v>
      </c>
      <c r="O188" s="91">
        <f>COUNTIF(Table1678[[#This Row],[Community club (type name of club(s). All clubs will count as ''1'']],"*")</f>
        <v>0</v>
      </c>
      <c r="P188" s="17">
        <f>IF(OR(Table1678[[#This Row],[Total Challenges]]&gt;0,Table1678[[#This Row],[Total Ex-C Clubs]]&gt;0,Table1678[[#This Row],[Total Intra-School Sports]]&gt;0,Table1678[[#This Row],[Total Inter-School Sports]]&gt;0,Table1678[[#This Row],[Community Clubs]]&gt;0),1,0)</f>
        <v>0</v>
      </c>
      <c r="HI188"/>
      <c r="HJ188" s="19"/>
    </row>
    <row r="189" spans="11:218" x14ac:dyDescent="0.25">
      <c r="K189" s="91">
        <f>SUM(Table1678[[#This Row],[Challenge 1]:[Challenge 50]])</f>
        <v>0</v>
      </c>
      <c r="L189" s="2">
        <f>SUM(Table1678[[#This Row],[Club 1]:[Club 50]])</f>
        <v>0</v>
      </c>
      <c r="M189" s="2">
        <f>SUM(Table1678[[#This Row],[Intra-school sports 1]:[Intra-school sports 50]])</f>
        <v>0</v>
      </c>
      <c r="N189" s="2">
        <f>SUM(Table1678[[#This Row],[Inter School sports 1]:[Inter School sports 50]])</f>
        <v>0</v>
      </c>
      <c r="O189" s="91">
        <f>COUNTIF(Table1678[[#This Row],[Community club (type name of club(s). All clubs will count as ''1'']],"*")</f>
        <v>0</v>
      </c>
      <c r="P189" s="17">
        <f>IF(OR(Table1678[[#This Row],[Total Challenges]]&gt;0,Table1678[[#This Row],[Total Ex-C Clubs]]&gt;0,Table1678[[#This Row],[Total Intra-School Sports]]&gt;0,Table1678[[#This Row],[Total Inter-School Sports]]&gt;0,Table1678[[#This Row],[Community Clubs]]&gt;0),1,0)</f>
        <v>0</v>
      </c>
      <c r="HI189"/>
      <c r="HJ189" s="19"/>
    </row>
    <row r="190" spans="11:218" x14ac:dyDescent="0.25">
      <c r="K190" s="91">
        <f>SUM(Table1678[[#This Row],[Challenge 1]:[Challenge 50]])</f>
        <v>0</v>
      </c>
      <c r="L190" s="2">
        <f>SUM(Table1678[[#This Row],[Club 1]:[Club 50]])</f>
        <v>0</v>
      </c>
      <c r="M190" s="2">
        <f>SUM(Table1678[[#This Row],[Intra-school sports 1]:[Intra-school sports 50]])</f>
        <v>0</v>
      </c>
      <c r="N190" s="2">
        <f>SUM(Table1678[[#This Row],[Inter School sports 1]:[Inter School sports 50]])</f>
        <v>0</v>
      </c>
      <c r="O190" s="91">
        <f>COUNTIF(Table1678[[#This Row],[Community club (type name of club(s). All clubs will count as ''1'']],"*")</f>
        <v>0</v>
      </c>
      <c r="P190" s="17">
        <f>IF(OR(Table1678[[#This Row],[Total Challenges]]&gt;0,Table1678[[#This Row],[Total Ex-C Clubs]]&gt;0,Table1678[[#This Row],[Total Intra-School Sports]]&gt;0,Table1678[[#This Row],[Total Inter-School Sports]]&gt;0,Table1678[[#This Row],[Community Clubs]]&gt;0),1,0)</f>
        <v>0</v>
      </c>
      <c r="HI190"/>
      <c r="HJ190" s="19"/>
    </row>
    <row r="191" spans="11:218" x14ac:dyDescent="0.25">
      <c r="K191" s="91">
        <f>SUM(Table1678[[#This Row],[Challenge 1]:[Challenge 50]])</f>
        <v>0</v>
      </c>
      <c r="L191" s="2">
        <f>SUM(Table1678[[#This Row],[Club 1]:[Club 50]])</f>
        <v>0</v>
      </c>
      <c r="M191" s="2">
        <f>SUM(Table1678[[#This Row],[Intra-school sports 1]:[Intra-school sports 50]])</f>
        <v>0</v>
      </c>
      <c r="N191" s="2">
        <f>SUM(Table1678[[#This Row],[Inter School sports 1]:[Inter School sports 50]])</f>
        <v>0</v>
      </c>
      <c r="O191" s="91">
        <f>COUNTIF(Table1678[[#This Row],[Community club (type name of club(s). All clubs will count as ''1'']],"*")</f>
        <v>0</v>
      </c>
      <c r="P191" s="17">
        <f>IF(OR(Table1678[[#This Row],[Total Challenges]]&gt;0,Table1678[[#This Row],[Total Ex-C Clubs]]&gt;0,Table1678[[#This Row],[Total Intra-School Sports]]&gt;0,Table1678[[#This Row],[Total Inter-School Sports]]&gt;0,Table1678[[#This Row],[Community Clubs]]&gt;0),1,0)</f>
        <v>0</v>
      </c>
      <c r="HI191"/>
      <c r="HJ191" s="19"/>
    </row>
    <row r="192" spans="11:218" x14ac:dyDescent="0.25">
      <c r="K192" s="91">
        <f>SUM(Table1678[[#This Row],[Challenge 1]:[Challenge 50]])</f>
        <v>0</v>
      </c>
      <c r="L192" s="2">
        <f>SUM(Table1678[[#This Row],[Club 1]:[Club 50]])</f>
        <v>0</v>
      </c>
      <c r="M192" s="2">
        <f>SUM(Table1678[[#This Row],[Intra-school sports 1]:[Intra-school sports 50]])</f>
        <v>0</v>
      </c>
      <c r="N192" s="2">
        <f>SUM(Table1678[[#This Row],[Inter School sports 1]:[Inter School sports 50]])</f>
        <v>0</v>
      </c>
      <c r="O192" s="91">
        <f>COUNTIF(Table1678[[#This Row],[Community club (type name of club(s). All clubs will count as ''1'']],"*")</f>
        <v>0</v>
      </c>
      <c r="P192" s="17">
        <f>IF(OR(Table1678[[#This Row],[Total Challenges]]&gt;0,Table1678[[#This Row],[Total Ex-C Clubs]]&gt;0,Table1678[[#This Row],[Total Intra-School Sports]]&gt;0,Table1678[[#This Row],[Total Inter-School Sports]]&gt;0,Table1678[[#This Row],[Community Clubs]]&gt;0),1,0)</f>
        <v>0</v>
      </c>
      <c r="HI192"/>
      <c r="HJ192" s="19"/>
    </row>
    <row r="193" spans="11:218" x14ac:dyDescent="0.25">
      <c r="K193" s="91">
        <f>SUM(Table1678[[#This Row],[Challenge 1]:[Challenge 50]])</f>
        <v>0</v>
      </c>
      <c r="L193" s="2">
        <f>SUM(Table1678[[#This Row],[Club 1]:[Club 50]])</f>
        <v>0</v>
      </c>
      <c r="M193" s="2">
        <f>SUM(Table1678[[#This Row],[Intra-school sports 1]:[Intra-school sports 50]])</f>
        <v>0</v>
      </c>
      <c r="N193" s="2">
        <f>SUM(Table1678[[#This Row],[Inter School sports 1]:[Inter School sports 50]])</f>
        <v>0</v>
      </c>
      <c r="O193" s="91">
        <f>COUNTIF(Table1678[[#This Row],[Community club (type name of club(s). All clubs will count as ''1'']],"*")</f>
        <v>0</v>
      </c>
      <c r="P193" s="17">
        <f>IF(OR(Table1678[[#This Row],[Total Challenges]]&gt;0,Table1678[[#This Row],[Total Ex-C Clubs]]&gt;0,Table1678[[#This Row],[Total Intra-School Sports]]&gt;0,Table1678[[#This Row],[Total Inter-School Sports]]&gt;0,Table1678[[#This Row],[Community Clubs]]&gt;0),1,0)</f>
        <v>0</v>
      </c>
      <c r="HI193"/>
      <c r="HJ193" s="19"/>
    </row>
    <row r="194" spans="11:218" x14ac:dyDescent="0.25">
      <c r="K194" s="91">
        <f>SUM(Table1678[[#This Row],[Challenge 1]:[Challenge 50]])</f>
        <v>0</v>
      </c>
      <c r="L194" s="2">
        <f>SUM(Table1678[[#This Row],[Club 1]:[Club 50]])</f>
        <v>0</v>
      </c>
      <c r="M194" s="2">
        <f>SUM(Table1678[[#This Row],[Intra-school sports 1]:[Intra-school sports 50]])</f>
        <v>0</v>
      </c>
      <c r="N194" s="2">
        <f>SUM(Table1678[[#This Row],[Inter School sports 1]:[Inter School sports 50]])</f>
        <v>0</v>
      </c>
      <c r="O194" s="91">
        <f>COUNTIF(Table1678[[#This Row],[Community club (type name of club(s). All clubs will count as ''1'']],"*")</f>
        <v>0</v>
      </c>
      <c r="P194" s="17">
        <f>IF(OR(Table1678[[#This Row],[Total Challenges]]&gt;0,Table1678[[#This Row],[Total Ex-C Clubs]]&gt;0,Table1678[[#This Row],[Total Intra-School Sports]]&gt;0,Table1678[[#This Row],[Total Inter-School Sports]]&gt;0,Table1678[[#This Row],[Community Clubs]]&gt;0),1,0)</f>
        <v>0</v>
      </c>
      <c r="HI194"/>
      <c r="HJ194" s="19"/>
    </row>
    <row r="195" spans="11:218" x14ac:dyDescent="0.25">
      <c r="K195" s="91">
        <f>SUM(Table1678[[#This Row],[Challenge 1]:[Challenge 50]])</f>
        <v>0</v>
      </c>
      <c r="L195" s="2">
        <f>SUM(Table1678[[#This Row],[Club 1]:[Club 50]])</f>
        <v>0</v>
      </c>
      <c r="M195" s="2">
        <f>SUM(Table1678[[#This Row],[Intra-school sports 1]:[Intra-school sports 50]])</f>
        <v>0</v>
      </c>
      <c r="N195" s="2">
        <f>SUM(Table1678[[#This Row],[Inter School sports 1]:[Inter School sports 50]])</f>
        <v>0</v>
      </c>
      <c r="O195" s="91">
        <f>COUNTIF(Table1678[[#This Row],[Community club (type name of club(s). All clubs will count as ''1'']],"*")</f>
        <v>0</v>
      </c>
      <c r="P195" s="17">
        <f>IF(OR(Table1678[[#This Row],[Total Challenges]]&gt;0,Table1678[[#This Row],[Total Ex-C Clubs]]&gt;0,Table1678[[#This Row],[Total Intra-School Sports]]&gt;0,Table1678[[#This Row],[Total Inter-School Sports]]&gt;0,Table1678[[#This Row],[Community Clubs]]&gt;0),1,0)</f>
        <v>0</v>
      </c>
      <c r="HI195"/>
      <c r="HJ195" s="19"/>
    </row>
    <row r="196" spans="11:218" x14ac:dyDescent="0.25">
      <c r="K196" s="91">
        <f>SUM(Table1678[[#This Row],[Challenge 1]:[Challenge 50]])</f>
        <v>0</v>
      </c>
      <c r="L196" s="2">
        <f>SUM(Table1678[[#This Row],[Club 1]:[Club 50]])</f>
        <v>0</v>
      </c>
      <c r="M196" s="2">
        <f>SUM(Table1678[[#This Row],[Intra-school sports 1]:[Intra-school sports 50]])</f>
        <v>0</v>
      </c>
      <c r="N196" s="2">
        <f>SUM(Table1678[[#This Row],[Inter School sports 1]:[Inter School sports 50]])</f>
        <v>0</v>
      </c>
      <c r="O196" s="91">
        <f>COUNTIF(Table1678[[#This Row],[Community club (type name of club(s). All clubs will count as ''1'']],"*")</f>
        <v>0</v>
      </c>
      <c r="P196" s="17">
        <f>IF(OR(Table1678[[#This Row],[Total Challenges]]&gt;0,Table1678[[#This Row],[Total Ex-C Clubs]]&gt;0,Table1678[[#This Row],[Total Intra-School Sports]]&gt;0,Table1678[[#This Row],[Total Inter-School Sports]]&gt;0,Table1678[[#This Row],[Community Clubs]]&gt;0),1,0)</f>
        <v>0</v>
      </c>
      <c r="HI196"/>
      <c r="HJ196" s="19"/>
    </row>
    <row r="197" spans="11:218" x14ac:dyDescent="0.25">
      <c r="K197" s="91">
        <f>SUM(Table1678[[#This Row],[Challenge 1]:[Challenge 50]])</f>
        <v>0</v>
      </c>
      <c r="L197" s="2">
        <f>SUM(Table1678[[#This Row],[Club 1]:[Club 50]])</f>
        <v>0</v>
      </c>
      <c r="M197" s="2">
        <f>SUM(Table1678[[#This Row],[Intra-school sports 1]:[Intra-school sports 50]])</f>
        <v>0</v>
      </c>
      <c r="N197" s="2">
        <f>SUM(Table1678[[#This Row],[Inter School sports 1]:[Inter School sports 50]])</f>
        <v>0</v>
      </c>
      <c r="O197" s="91">
        <f>COUNTIF(Table1678[[#This Row],[Community club (type name of club(s). All clubs will count as ''1'']],"*")</f>
        <v>0</v>
      </c>
      <c r="P197" s="17">
        <f>IF(OR(Table1678[[#This Row],[Total Challenges]]&gt;0,Table1678[[#This Row],[Total Ex-C Clubs]]&gt;0,Table1678[[#This Row],[Total Intra-School Sports]]&gt;0,Table1678[[#This Row],[Total Inter-School Sports]]&gt;0,Table1678[[#This Row],[Community Clubs]]&gt;0),1,0)</f>
        <v>0</v>
      </c>
      <c r="HI197"/>
      <c r="HJ197" s="19"/>
    </row>
    <row r="198" spans="11:218" x14ac:dyDescent="0.25">
      <c r="K198" s="91">
        <f>SUM(Table1678[[#This Row],[Challenge 1]:[Challenge 50]])</f>
        <v>0</v>
      </c>
      <c r="L198" s="2">
        <f>SUM(Table1678[[#This Row],[Club 1]:[Club 50]])</f>
        <v>0</v>
      </c>
      <c r="M198" s="2">
        <f>SUM(Table1678[[#This Row],[Intra-school sports 1]:[Intra-school sports 50]])</f>
        <v>0</v>
      </c>
      <c r="N198" s="2">
        <f>SUM(Table1678[[#This Row],[Inter School sports 1]:[Inter School sports 50]])</f>
        <v>0</v>
      </c>
      <c r="O198" s="91">
        <f>COUNTIF(Table1678[[#This Row],[Community club (type name of club(s). All clubs will count as ''1'']],"*")</f>
        <v>0</v>
      </c>
      <c r="P198" s="17">
        <f>IF(OR(Table1678[[#This Row],[Total Challenges]]&gt;0,Table1678[[#This Row],[Total Ex-C Clubs]]&gt;0,Table1678[[#This Row],[Total Intra-School Sports]]&gt;0,Table1678[[#This Row],[Total Inter-School Sports]]&gt;0,Table1678[[#This Row],[Community Clubs]]&gt;0),1,0)</f>
        <v>0</v>
      </c>
      <c r="HI198"/>
      <c r="HJ198" s="19"/>
    </row>
    <row r="199" spans="11:218" x14ac:dyDescent="0.25">
      <c r="K199" s="91">
        <f>SUM(Table1678[[#This Row],[Challenge 1]:[Challenge 50]])</f>
        <v>0</v>
      </c>
      <c r="L199" s="2">
        <f>SUM(Table1678[[#This Row],[Club 1]:[Club 50]])</f>
        <v>0</v>
      </c>
      <c r="M199" s="2">
        <f>SUM(Table1678[[#This Row],[Intra-school sports 1]:[Intra-school sports 50]])</f>
        <v>0</v>
      </c>
      <c r="N199" s="2">
        <f>SUM(Table1678[[#This Row],[Inter School sports 1]:[Inter School sports 50]])</f>
        <v>0</v>
      </c>
      <c r="O199" s="91">
        <f>COUNTIF(Table1678[[#This Row],[Community club (type name of club(s). All clubs will count as ''1'']],"*")</f>
        <v>0</v>
      </c>
      <c r="P199" s="17">
        <f>IF(OR(Table1678[[#This Row],[Total Challenges]]&gt;0,Table1678[[#This Row],[Total Ex-C Clubs]]&gt;0,Table1678[[#This Row],[Total Intra-School Sports]]&gt;0,Table1678[[#This Row],[Total Inter-School Sports]]&gt;0,Table1678[[#This Row],[Community Clubs]]&gt;0),1,0)</f>
        <v>0</v>
      </c>
      <c r="HI199"/>
      <c r="HJ199" s="19"/>
    </row>
    <row r="200" spans="11:218" x14ac:dyDescent="0.25">
      <c r="K200" s="91">
        <f>SUM(Table1678[[#This Row],[Challenge 1]:[Challenge 50]])</f>
        <v>0</v>
      </c>
      <c r="L200" s="2">
        <f>SUM(Table1678[[#This Row],[Club 1]:[Club 50]])</f>
        <v>0</v>
      </c>
      <c r="M200" s="2">
        <f>SUM(Table1678[[#This Row],[Intra-school sports 1]:[Intra-school sports 50]])</f>
        <v>0</v>
      </c>
      <c r="N200" s="2">
        <f>SUM(Table1678[[#This Row],[Inter School sports 1]:[Inter School sports 50]])</f>
        <v>0</v>
      </c>
      <c r="O200" s="91">
        <f>COUNTIF(Table1678[[#This Row],[Community club (type name of club(s). All clubs will count as ''1'']],"*")</f>
        <v>0</v>
      </c>
      <c r="P200" s="17">
        <f>IF(OR(Table1678[[#This Row],[Total Challenges]]&gt;0,Table1678[[#This Row],[Total Ex-C Clubs]]&gt;0,Table1678[[#This Row],[Total Intra-School Sports]]&gt;0,Table1678[[#This Row],[Total Inter-School Sports]]&gt;0,Table1678[[#This Row],[Community Clubs]]&gt;0),1,0)</f>
        <v>0</v>
      </c>
      <c r="HI200"/>
      <c r="HJ200" s="19"/>
    </row>
    <row r="201" spans="11:218" x14ac:dyDescent="0.25">
      <c r="K201" s="91">
        <f>SUM(Table1678[[#This Row],[Challenge 1]:[Challenge 50]])</f>
        <v>0</v>
      </c>
      <c r="L201" s="2">
        <f>SUM(Table1678[[#This Row],[Club 1]:[Club 50]])</f>
        <v>0</v>
      </c>
      <c r="M201" s="2">
        <f>SUM(Table1678[[#This Row],[Intra-school sports 1]:[Intra-school sports 50]])</f>
        <v>0</v>
      </c>
      <c r="N201" s="2">
        <f>SUM(Table1678[[#This Row],[Inter School sports 1]:[Inter School sports 50]])</f>
        <v>0</v>
      </c>
      <c r="O201" s="91">
        <f>COUNTIF(Table1678[[#This Row],[Community club (type name of club(s). All clubs will count as ''1'']],"*")</f>
        <v>0</v>
      </c>
      <c r="P201" s="17">
        <f>IF(OR(Table1678[[#This Row],[Total Challenges]]&gt;0,Table1678[[#This Row],[Total Ex-C Clubs]]&gt;0,Table1678[[#This Row],[Total Intra-School Sports]]&gt;0,Table1678[[#This Row],[Total Inter-School Sports]]&gt;0,Table1678[[#This Row],[Community Clubs]]&gt;0),1,0)</f>
        <v>0</v>
      </c>
      <c r="HI201"/>
      <c r="HJ201" s="19"/>
    </row>
    <row r="202" spans="11:218" x14ac:dyDescent="0.25">
      <c r="K202" s="91">
        <f>SUM(Table1678[[#This Row],[Challenge 1]:[Challenge 50]])</f>
        <v>0</v>
      </c>
      <c r="L202" s="2">
        <f>SUM(Table1678[[#This Row],[Club 1]:[Club 50]])</f>
        <v>0</v>
      </c>
      <c r="M202" s="2">
        <f>SUM(Table1678[[#This Row],[Intra-school sports 1]:[Intra-school sports 50]])</f>
        <v>0</v>
      </c>
      <c r="N202" s="2">
        <f>SUM(Table1678[[#This Row],[Inter School sports 1]:[Inter School sports 50]])</f>
        <v>0</v>
      </c>
      <c r="O202" s="91">
        <f>COUNTIF(Table1678[[#This Row],[Community club (type name of club(s). All clubs will count as ''1'']],"*")</f>
        <v>0</v>
      </c>
      <c r="P202" s="17">
        <f>IF(OR(Table1678[[#This Row],[Total Challenges]]&gt;0,Table1678[[#This Row],[Total Ex-C Clubs]]&gt;0,Table1678[[#This Row],[Total Intra-School Sports]]&gt;0,Table1678[[#This Row],[Total Inter-School Sports]]&gt;0,Table1678[[#This Row],[Community Clubs]]&gt;0),1,0)</f>
        <v>0</v>
      </c>
      <c r="HI202"/>
      <c r="HJ202" s="19"/>
    </row>
    <row r="203" spans="11:218" x14ac:dyDescent="0.25">
      <c r="K203" s="91">
        <f>SUM(Table1678[[#This Row],[Challenge 1]:[Challenge 50]])</f>
        <v>0</v>
      </c>
      <c r="L203" s="2">
        <f>SUM(Table1678[[#This Row],[Club 1]:[Club 50]])</f>
        <v>0</v>
      </c>
      <c r="M203" s="2">
        <f>SUM(Table1678[[#This Row],[Intra-school sports 1]:[Intra-school sports 50]])</f>
        <v>0</v>
      </c>
      <c r="N203" s="2">
        <f>SUM(Table1678[[#This Row],[Inter School sports 1]:[Inter School sports 50]])</f>
        <v>0</v>
      </c>
      <c r="O203" s="91">
        <f>COUNTIF(Table1678[[#This Row],[Community club (type name of club(s). All clubs will count as ''1'']],"*")</f>
        <v>0</v>
      </c>
      <c r="P203" s="17">
        <f>IF(OR(Table1678[[#This Row],[Total Challenges]]&gt;0,Table1678[[#This Row],[Total Ex-C Clubs]]&gt;0,Table1678[[#This Row],[Total Intra-School Sports]]&gt;0,Table1678[[#This Row],[Total Inter-School Sports]]&gt;0,Table1678[[#This Row],[Community Clubs]]&gt;0),1,0)</f>
        <v>0</v>
      </c>
      <c r="HI203"/>
      <c r="HJ203" s="19"/>
    </row>
    <row r="204" spans="11:218" x14ac:dyDescent="0.25">
      <c r="K204" s="91">
        <f>SUM(Table1678[[#This Row],[Challenge 1]:[Challenge 50]])</f>
        <v>0</v>
      </c>
      <c r="L204" s="2">
        <f>SUM(Table1678[[#This Row],[Club 1]:[Club 50]])</f>
        <v>0</v>
      </c>
      <c r="M204" s="2">
        <f>SUM(Table1678[[#This Row],[Intra-school sports 1]:[Intra-school sports 50]])</f>
        <v>0</v>
      </c>
      <c r="N204" s="2">
        <f>SUM(Table1678[[#This Row],[Inter School sports 1]:[Inter School sports 50]])</f>
        <v>0</v>
      </c>
      <c r="O204" s="91">
        <f>COUNTIF(Table1678[[#This Row],[Community club (type name of club(s). All clubs will count as ''1'']],"*")</f>
        <v>0</v>
      </c>
      <c r="P204" s="17">
        <f>IF(OR(Table1678[[#This Row],[Total Challenges]]&gt;0,Table1678[[#This Row],[Total Ex-C Clubs]]&gt;0,Table1678[[#This Row],[Total Intra-School Sports]]&gt;0,Table1678[[#This Row],[Total Inter-School Sports]]&gt;0,Table1678[[#This Row],[Community Clubs]]&gt;0),1,0)</f>
        <v>0</v>
      </c>
      <c r="HI204"/>
      <c r="HJ204" s="19"/>
    </row>
    <row r="205" spans="11:218" x14ac:dyDescent="0.25">
      <c r="K205" s="91">
        <f>SUM(Table1678[[#This Row],[Challenge 1]:[Challenge 50]])</f>
        <v>0</v>
      </c>
      <c r="L205" s="2">
        <f>SUM(Table1678[[#This Row],[Club 1]:[Club 50]])</f>
        <v>0</v>
      </c>
      <c r="M205" s="2">
        <f>SUM(Table1678[[#This Row],[Intra-school sports 1]:[Intra-school sports 50]])</f>
        <v>0</v>
      </c>
      <c r="N205" s="2">
        <f>SUM(Table1678[[#This Row],[Inter School sports 1]:[Inter School sports 50]])</f>
        <v>0</v>
      </c>
      <c r="O205" s="91">
        <f>COUNTIF(Table1678[[#This Row],[Community club (type name of club(s). All clubs will count as ''1'']],"*")</f>
        <v>0</v>
      </c>
      <c r="P205" s="17">
        <f>IF(OR(Table1678[[#This Row],[Total Challenges]]&gt;0,Table1678[[#This Row],[Total Ex-C Clubs]]&gt;0,Table1678[[#This Row],[Total Intra-School Sports]]&gt;0,Table1678[[#This Row],[Total Inter-School Sports]]&gt;0,Table1678[[#This Row],[Community Clubs]]&gt;0),1,0)</f>
        <v>0</v>
      </c>
      <c r="HI205"/>
      <c r="HJ205" s="19"/>
    </row>
    <row r="206" spans="11:218" x14ac:dyDescent="0.25">
      <c r="K206" s="91">
        <f>SUM(Table1678[[#This Row],[Challenge 1]:[Challenge 50]])</f>
        <v>0</v>
      </c>
      <c r="L206" s="2">
        <f>SUM(Table1678[[#This Row],[Club 1]:[Club 50]])</f>
        <v>0</v>
      </c>
      <c r="M206" s="2">
        <f>SUM(Table1678[[#This Row],[Intra-school sports 1]:[Intra-school sports 50]])</f>
        <v>0</v>
      </c>
      <c r="N206" s="2">
        <f>SUM(Table1678[[#This Row],[Inter School sports 1]:[Inter School sports 50]])</f>
        <v>0</v>
      </c>
      <c r="O206" s="91">
        <f>COUNTIF(Table1678[[#This Row],[Community club (type name of club(s). All clubs will count as ''1'']],"*")</f>
        <v>0</v>
      </c>
      <c r="P206" s="17">
        <f>IF(OR(Table1678[[#This Row],[Total Challenges]]&gt;0,Table1678[[#This Row],[Total Ex-C Clubs]]&gt;0,Table1678[[#This Row],[Total Intra-School Sports]]&gt;0,Table1678[[#This Row],[Total Inter-School Sports]]&gt;0,Table1678[[#This Row],[Community Clubs]]&gt;0),1,0)</f>
        <v>0</v>
      </c>
      <c r="HI206"/>
      <c r="HJ206" s="19"/>
    </row>
    <row r="207" spans="11:218" x14ac:dyDescent="0.25">
      <c r="K207" s="91">
        <f>SUM(Table1678[[#This Row],[Challenge 1]:[Challenge 50]])</f>
        <v>0</v>
      </c>
      <c r="L207" s="2">
        <f>SUM(Table1678[[#This Row],[Club 1]:[Club 50]])</f>
        <v>0</v>
      </c>
      <c r="M207" s="2">
        <f>SUM(Table1678[[#This Row],[Intra-school sports 1]:[Intra-school sports 50]])</f>
        <v>0</v>
      </c>
      <c r="N207" s="2">
        <f>SUM(Table1678[[#This Row],[Inter School sports 1]:[Inter School sports 50]])</f>
        <v>0</v>
      </c>
      <c r="O207" s="91">
        <f>COUNTIF(Table1678[[#This Row],[Community club (type name of club(s). All clubs will count as ''1'']],"*")</f>
        <v>0</v>
      </c>
      <c r="P207" s="17">
        <f>IF(OR(Table1678[[#This Row],[Total Challenges]]&gt;0,Table1678[[#This Row],[Total Ex-C Clubs]]&gt;0,Table1678[[#This Row],[Total Intra-School Sports]]&gt;0,Table1678[[#This Row],[Total Inter-School Sports]]&gt;0,Table1678[[#This Row],[Community Clubs]]&gt;0),1,0)</f>
        <v>0</v>
      </c>
      <c r="HI207"/>
      <c r="HJ207" s="19"/>
    </row>
    <row r="208" spans="11:218" x14ac:dyDescent="0.25">
      <c r="K208" s="91">
        <f>SUM(Table1678[[#This Row],[Challenge 1]:[Challenge 50]])</f>
        <v>0</v>
      </c>
      <c r="L208" s="2">
        <f>SUM(Table1678[[#This Row],[Club 1]:[Club 50]])</f>
        <v>0</v>
      </c>
      <c r="M208" s="2">
        <f>SUM(Table1678[[#This Row],[Intra-school sports 1]:[Intra-school sports 50]])</f>
        <v>0</v>
      </c>
      <c r="N208" s="2">
        <f>SUM(Table1678[[#This Row],[Inter School sports 1]:[Inter School sports 50]])</f>
        <v>0</v>
      </c>
      <c r="O208" s="91">
        <f>COUNTIF(Table1678[[#This Row],[Community club (type name of club(s). All clubs will count as ''1'']],"*")</f>
        <v>0</v>
      </c>
      <c r="P208" s="17">
        <f>IF(OR(Table1678[[#This Row],[Total Challenges]]&gt;0,Table1678[[#This Row],[Total Ex-C Clubs]]&gt;0,Table1678[[#This Row],[Total Intra-School Sports]]&gt;0,Table1678[[#This Row],[Total Inter-School Sports]]&gt;0,Table1678[[#This Row],[Community Clubs]]&gt;0),1,0)</f>
        <v>0</v>
      </c>
      <c r="HI208"/>
      <c r="HJ208" s="19"/>
    </row>
    <row r="209" spans="1:218" x14ac:dyDescent="0.25">
      <c r="K209" s="91">
        <f>SUM(Table1678[[#This Row],[Challenge 1]:[Challenge 50]])</f>
        <v>0</v>
      </c>
      <c r="L209" s="2">
        <f>SUM(Table1678[[#This Row],[Club 1]:[Club 50]])</f>
        <v>0</v>
      </c>
      <c r="M209" s="2">
        <f>SUM(Table1678[[#This Row],[Intra-school sports 1]:[Intra-school sports 50]])</f>
        <v>0</v>
      </c>
      <c r="N209" s="2">
        <f>SUM(Table1678[[#This Row],[Inter School sports 1]:[Inter School sports 50]])</f>
        <v>0</v>
      </c>
      <c r="O209" s="91">
        <f>COUNTIF(Table1678[[#This Row],[Community club (type name of club(s). All clubs will count as ''1'']],"*")</f>
        <v>0</v>
      </c>
      <c r="P209" s="17">
        <f>IF(OR(Table1678[[#This Row],[Total Challenges]]&gt;0,Table1678[[#This Row],[Total Ex-C Clubs]]&gt;0,Table1678[[#This Row],[Total Intra-School Sports]]&gt;0,Table1678[[#This Row],[Total Inter-School Sports]]&gt;0,Table1678[[#This Row],[Community Clubs]]&gt;0),1,0)</f>
        <v>0</v>
      </c>
      <c r="HI209"/>
      <c r="HJ209" s="19"/>
    </row>
    <row r="210" spans="1:218" x14ac:dyDescent="0.25">
      <c r="K210" s="91">
        <f>SUM(Table1678[[#This Row],[Challenge 1]:[Challenge 50]])</f>
        <v>0</v>
      </c>
      <c r="L210" s="2">
        <f>SUM(Table1678[[#This Row],[Club 1]:[Club 50]])</f>
        <v>0</v>
      </c>
      <c r="M210" s="2">
        <f>SUM(Table1678[[#This Row],[Intra-school sports 1]:[Intra-school sports 50]])</f>
        <v>0</v>
      </c>
      <c r="N210" s="2">
        <f>SUM(Table1678[[#This Row],[Inter School sports 1]:[Inter School sports 50]])</f>
        <v>0</v>
      </c>
      <c r="O210" s="91">
        <f>COUNTIF(Table1678[[#This Row],[Community club (type name of club(s). All clubs will count as ''1'']],"*")</f>
        <v>0</v>
      </c>
      <c r="P210" s="17">
        <f>IF(OR(Table1678[[#This Row],[Total Challenges]]&gt;0,Table1678[[#This Row],[Total Ex-C Clubs]]&gt;0,Table1678[[#This Row],[Total Intra-School Sports]]&gt;0,Table1678[[#This Row],[Total Inter-School Sports]]&gt;0,Table1678[[#This Row],[Community Clubs]]&gt;0),1,0)</f>
        <v>0</v>
      </c>
      <c r="HI210"/>
      <c r="HJ210" s="19"/>
    </row>
    <row r="211" spans="1:218" x14ac:dyDescent="0.25">
      <c r="K211" s="91">
        <f>SUM(Table1678[[#This Row],[Challenge 1]:[Challenge 50]])</f>
        <v>0</v>
      </c>
      <c r="L211" s="2">
        <f>SUM(Table1678[[#This Row],[Club 1]:[Club 50]])</f>
        <v>0</v>
      </c>
      <c r="M211" s="2">
        <f>SUM(Table1678[[#This Row],[Intra-school sports 1]:[Intra-school sports 50]])</f>
        <v>0</v>
      </c>
      <c r="N211" s="2">
        <f>SUM(Table1678[[#This Row],[Inter School sports 1]:[Inter School sports 50]])</f>
        <v>0</v>
      </c>
      <c r="O211" s="91">
        <f>COUNTIF(Table1678[[#This Row],[Community club (type name of club(s). All clubs will count as ''1'']],"*")</f>
        <v>0</v>
      </c>
      <c r="P211" s="17">
        <f>IF(OR(Table1678[[#This Row],[Total Challenges]]&gt;0,Table1678[[#This Row],[Total Ex-C Clubs]]&gt;0,Table1678[[#This Row],[Total Intra-School Sports]]&gt;0,Table1678[[#This Row],[Total Inter-School Sports]]&gt;0,Table1678[[#This Row],[Community Clubs]]&gt;0),1,0)</f>
        <v>0</v>
      </c>
      <c r="HI211"/>
      <c r="HJ211" s="19"/>
    </row>
    <row r="212" spans="1:218" x14ac:dyDescent="0.25">
      <c r="K212" s="91">
        <f>SUM(Table1678[[#This Row],[Challenge 1]:[Challenge 50]])</f>
        <v>0</v>
      </c>
      <c r="L212" s="2">
        <f>SUM(Table1678[[#This Row],[Club 1]:[Club 50]])</f>
        <v>0</v>
      </c>
      <c r="M212" s="2">
        <f>SUM(Table1678[[#This Row],[Intra-school sports 1]:[Intra-school sports 50]])</f>
        <v>0</v>
      </c>
      <c r="N212" s="2">
        <f>SUM(Table1678[[#This Row],[Inter School sports 1]:[Inter School sports 50]])</f>
        <v>0</v>
      </c>
      <c r="O212" s="91">
        <f>COUNTIF(Table1678[[#This Row],[Community club (type name of club(s). All clubs will count as ''1'']],"*")</f>
        <v>0</v>
      </c>
      <c r="P212" s="17">
        <f>IF(OR(Table1678[[#This Row],[Total Challenges]]&gt;0,Table1678[[#This Row],[Total Ex-C Clubs]]&gt;0,Table1678[[#This Row],[Total Intra-School Sports]]&gt;0,Table1678[[#This Row],[Total Inter-School Sports]]&gt;0,Table1678[[#This Row],[Community Clubs]]&gt;0),1,0)</f>
        <v>0</v>
      </c>
      <c r="HI212"/>
      <c r="HJ212" s="19"/>
    </row>
    <row r="213" spans="1:218" x14ac:dyDescent="0.25">
      <c r="K213" s="91">
        <f>SUM(Table1678[[#This Row],[Challenge 1]:[Challenge 50]])</f>
        <v>0</v>
      </c>
      <c r="L213" s="2">
        <f>SUM(Table1678[[#This Row],[Club 1]:[Club 50]])</f>
        <v>0</v>
      </c>
      <c r="M213" s="2">
        <f>SUM(Table1678[[#This Row],[Intra-school sports 1]:[Intra-school sports 50]])</f>
        <v>0</v>
      </c>
      <c r="N213" s="2">
        <f>SUM(Table1678[[#This Row],[Inter School sports 1]:[Inter School sports 50]])</f>
        <v>0</v>
      </c>
      <c r="O213" s="91">
        <f>COUNTIF(Table1678[[#This Row],[Community club (type name of club(s). All clubs will count as ''1'']],"*")</f>
        <v>0</v>
      </c>
      <c r="P213" s="17">
        <f>IF(OR(Table1678[[#This Row],[Total Challenges]]&gt;0,Table1678[[#This Row],[Total Ex-C Clubs]]&gt;0,Table1678[[#This Row],[Total Intra-School Sports]]&gt;0,Table1678[[#This Row],[Total Inter-School Sports]]&gt;0,Table1678[[#This Row],[Community Clubs]]&gt;0),1,0)</f>
        <v>0</v>
      </c>
      <c r="HI213"/>
      <c r="HJ213" s="19"/>
    </row>
    <row r="214" spans="1:218" x14ac:dyDescent="0.25">
      <c r="K214" s="91">
        <f>SUM(Table1678[[#This Row],[Challenge 1]:[Challenge 50]])</f>
        <v>0</v>
      </c>
      <c r="L214" s="2">
        <f>SUM(Table1678[[#This Row],[Club 1]:[Club 50]])</f>
        <v>0</v>
      </c>
      <c r="M214" s="2">
        <f>SUM(Table1678[[#This Row],[Intra-school sports 1]:[Intra-school sports 50]])</f>
        <v>0</v>
      </c>
      <c r="N214" s="2">
        <f>SUM(Table1678[[#This Row],[Inter School sports 1]:[Inter School sports 50]])</f>
        <v>0</v>
      </c>
      <c r="O214" s="91">
        <f>COUNTIF(Table1678[[#This Row],[Community club (type name of club(s). All clubs will count as ''1'']],"*")</f>
        <v>0</v>
      </c>
      <c r="P214" s="17">
        <f>IF(OR(Table1678[[#This Row],[Total Challenges]]&gt;0,Table1678[[#This Row],[Total Ex-C Clubs]]&gt;0,Table1678[[#This Row],[Total Intra-School Sports]]&gt;0,Table1678[[#This Row],[Total Inter-School Sports]]&gt;0,Table1678[[#This Row],[Community Clubs]]&gt;0),1,0)</f>
        <v>0</v>
      </c>
      <c r="HI214"/>
      <c r="HJ214" s="19"/>
    </row>
    <row r="215" spans="1:218" x14ac:dyDescent="0.25">
      <c r="K215" s="91">
        <f>SUM(Table1678[[#This Row],[Challenge 1]:[Challenge 50]])</f>
        <v>0</v>
      </c>
      <c r="L215" s="2">
        <f>SUM(Table1678[[#This Row],[Club 1]:[Club 50]])</f>
        <v>0</v>
      </c>
      <c r="M215" s="2">
        <f>SUM(Table1678[[#This Row],[Intra-school sports 1]:[Intra-school sports 50]])</f>
        <v>0</v>
      </c>
      <c r="N215" s="2">
        <f>SUM(Table1678[[#This Row],[Inter School sports 1]:[Inter School sports 50]])</f>
        <v>0</v>
      </c>
      <c r="O215" s="91">
        <f>COUNTIF(Table1678[[#This Row],[Community club (type name of club(s). All clubs will count as ''1'']],"*")</f>
        <v>0</v>
      </c>
      <c r="P215" s="17">
        <f>IF(OR(Table1678[[#This Row],[Total Challenges]]&gt;0,Table1678[[#This Row],[Total Ex-C Clubs]]&gt;0,Table1678[[#This Row],[Total Intra-School Sports]]&gt;0,Table1678[[#This Row],[Total Inter-School Sports]]&gt;0,Table1678[[#This Row],[Community Clubs]]&gt;0),1,0)</f>
        <v>0</v>
      </c>
      <c r="HI215"/>
      <c r="HJ215" s="19"/>
    </row>
    <row r="216" spans="1:218" x14ac:dyDescent="0.25">
      <c r="K216" s="91">
        <f>SUM(Table1678[[#This Row],[Challenge 1]:[Challenge 50]])</f>
        <v>0</v>
      </c>
      <c r="L216" s="2">
        <f>SUM(Table1678[[#This Row],[Club 1]:[Club 50]])</f>
        <v>0</v>
      </c>
      <c r="M216" s="2">
        <f>SUM(Table1678[[#This Row],[Intra-school sports 1]:[Intra-school sports 50]])</f>
        <v>0</v>
      </c>
      <c r="N216" s="2">
        <f>SUM(Table1678[[#This Row],[Inter School sports 1]:[Inter School sports 50]])</f>
        <v>0</v>
      </c>
      <c r="O216" s="91">
        <f>COUNTIF(Table1678[[#This Row],[Community club (type name of club(s). All clubs will count as ''1'']],"*")</f>
        <v>0</v>
      </c>
      <c r="P216" s="17">
        <f>IF(OR(Table1678[[#This Row],[Total Challenges]]&gt;0,Table1678[[#This Row],[Total Ex-C Clubs]]&gt;0,Table1678[[#This Row],[Total Intra-School Sports]]&gt;0,Table1678[[#This Row],[Total Inter-School Sports]]&gt;0,Table1678[[#This Row],[Community Clubs]]&gt;0),1,0)</f>
        <v>0</v>
      </c>
      <c r="HI216"/>
      <c r="HJ216" s="19"/>
    </row>
    <row r="217" spans="1:218" x14ac:dyDescent="0.25">
      <c r="K217" s="91">
        <f>SUM(Table1678[[#This Row],[Challenge 1]:[Challenge 50]])</f>
        <v>0</v>
      </c>
      <c r="L217" s="2">
        <f>SUM(Table1678[[#This Row],[Club 1]:[Club 50]])</f>
        <v>0</v>
      </c>
      <c r="M217" s="2">
        <f>SUM(Table1678[[#This Row],[Intra-school sports 1]:[Intra-school sports 50]])</f>
        <v>0</v>
      </c>
      <c r="N217" s="2">
        <f>SUM(Table1678[[#This Row],[Inter School sports 1]:[Inter School sports 50]])</f>
        <v>0</v>
      </c>
      <c r="O217" s="91">
        <f>COUNTIF(Table1678[[#This Row],[Community club (type name of club(s). All clubs will count as ''1'']],"*")</f>
        <v>0</v>
      </c>
      <c r="P217" s="17">
        <f>IF(OR(Table1678[[#This Row],[Total Challenges]]&gt;0,Table1678[[#This Row],[Total Ex-C Clubs]]&gt;0,Table1678[[#This Row],[Total Intra-School Sports]]&gt;0,Table1678[[#This Row],[Total Inter-School Sports]]&gt;0,Table1678[[#This Row],[Community Clubs]]&gt;0),1,0)</f>
        <v>0</v>
      </c>
      <c r="HI217"/>
      <c r="HJ217" s="19"/>
    </row>
    <row r="218" spans="1:218" x14ac:dyDescent="0.25">
      <c r="K218" s="91">
        <f>SUM(Table1678[[#This Row],[Challenge 1]:[Challenge 50]])</f>
        <v>0</v>
      </c>
      <c r="L218" s="2">
        <f>SUM(Table1678[[#This Row],[Club 1]:[Club 50]])</f>
        <v>0</v>
      </c>
      <c r="M218" s="2">
        <f>SUM(Table1678[[#This Row],[Intra-school sports 1]:[Intra-school sports 50]])</f>
        <v>0</v>
      </c>
      <c r="N218" s="2">
        <f>SUM(Table1678[[#This Row],[Inter School sports 1]:[Inter School sports 50]])</f>
        <v>0</v>
      </c>
      <c r="O218" s="91">
        <f>COUNTIF(Table1678[[#This Row],[Community club (type name of club(s). All clubs will count as ''1'']],"*")</f>
        <v>0</v>
      </c>
      <c r="P218" s="17">
        <f>IF(OR(Table1678[[#This Row],[Total Challenges]]&gt;0,Table1678[[#This Row],[Total Ex-C Clubs]]&gt;0,Table1678[[#This Row],[Total Intra-School Sports]]&gt;0,Table1678[[#This Row],[Total Inter-School Sports]]&gt;0,Table1678[[#This Row],[Community Clubs]]&gt;0),1,0)</f>
        <v>0</v>
      </c>
      <c r="HI218"/>
      <c r="HJ218" s="19"/>
    </row>
    <row r="219" spans="1:218" x14ac:dyDescent="0.25">
      <c r="K219" s="91">
        <f>SUM(Table1678[[#This Row],[Challenge 1]:[Challenge 50]])</f>
        <v>0</v>
      </c>
      <c r="L219" s="2">
        <f>SUM(Table1678[[#This Row],[Club 1]:[Club 50]])</f>
        <v>0</v>
      </c>
      <c r="M219" s="2">
        <f>SUM(Table1678[[#This Row],[Intra-school sports 1]:[Intra-school sports 50]])</f>
        <v>0</v>
      </c>
      <c r="N219" s="2">
        <f>SUM(Table1678[[#This Row],[Inter School sports 1]:[Inter School sports 50]])</f>
        <v>0</v>
      </c>
      <c r="O219" s="91">
        <f>COUNTIF(Table1678[[#This Row],[Community club (type name of club(s). All clubs will count as ''1'']],"*")</f>
        <v>0</v>
      </c>
      <c r="P219" s="17">
        <f>IF(OR(Table1678[[#This Row],[Total Challenges]]&gt;0,Table1678[[#This Row],[Total Ex-C Clubs]]&gt;0,Table1678[[#This Row],[Total Intra-School Sports]]&gt;0,Table1678[[#This Row],[Total Inter-School Sports]]&gt;0,Table1678[[#This Row],[Community Clubs]]&gt;0),1,0)</f>
        <v>0</v>
      </c>
      <c r="HI219"/>
      <c r="HJ219" s="19"/>
    </row>
    <row r="220" spans="1:218" x14ac:dyDescent="0.25">
      <c r="K220" s="91">
        <f>SUM(Table1678[[#This Row],[Challenge 1]:[Challenge 50]])</f>
        <v>0</v>
      </c>
      <c r="L220" s="2">
        <f>SUM(Table1678[[#This Row],[Club 1]:[Club 50]])</f>
        <v>0</v>
      </c>
      <c r="M220" s="2">
        <f>SUM(Table1678[[#This Row],[Intra-school sports 1]:[Intra-school sports 50]])</f>
        <v>0</v>
      </c>
      <c r="N220" s="2">
        <f>SUM(Table1678[[#This Row],[Inter School sports 1]:[Inter School sports 50]])</f>
        <v>0</v>
      </c>
      <c r="O220" s="91">
        <f>COUNTIF(Table1678[[#This Row],[Community club (type name of club(s). All clubs will count as ''1'']],"*")</f>
        <v>0</v>
      </c>
      <c r="P220" s="17">
        <f>IF(OR(Table1678[[#This Row],[Total Challenges]]&gt;0,Table1678[[#This Row],[Total Ex-C Clubs]]&gt;0,Table1678[[#This Row],[Total Intra-School Sports]]&gt;0,Table1678[[#This Row],[Total Inter-School Sports]]&gt;0,Table1678[[#This Row],[Community Clubs]]&gt;0),1,0)</f>
        <v>0</v>
      </c>
      <c r="HI220"/>
      <c r="HJ220" s="19"/>
    </row>
    <row r="221" spans="1:218" x14ac:dyDescent="0.25">
      <c r="A221" t="s">
        <v>57</v>
      </c>
      <c r="E221">
        <f>SUBTOTAL(109,Table1678[FSM / PP])</f>
        <v>1</v>
      </c>
      <c r="F221">
        <f>SUBTOTAL(109,Table1678[Ethnically Diverse])</f>
        <v>1</v>
      </c>
      <c r="G221">
        <f>SUBTOTAL(109,Table1678[EAL])</f>
        <v>1</v>
      </c>
      <c r="H221">
        <f>SUBTOTAL(109,Table1678[SEN])</f>
        <v>0</v>
      </c>
      <c r="I221">
        <f>SUBTOTAL(109,Table1678[Young Leader])</f>
        <v>1</v>
      </c>
      <c r="J221">
        <f>SUBTOTAL(109,Table1678[Least active])</f>
        <v>0</v>
      </c>
      <c r="K221" s="2">
        <f>SUBTOTAL(109,Table1678[Total Challenges])</f>
        <v>1</v>
      </c>
      <c r="L221" s="2">
        <f>SUBTOTAL(109,Table1678[Total Ex-C Clubs])</f>
        <v>0</v>
      </c>
      <c r="M221" s="2">
        <f>SUBTOTAL(109,Table1678[Total Intra-School Sports])</f>
        <v>0</v>
      </c>
      <c r="N221" s="2">
        <f>SUBTOTAL(109,Table1678[Total Inter-School Sports])</f>
        <v>0</v>
      </c>
      <c r="O221" s="2">
        <f>SUBTOTAL(109,Table1678[Community Clubs])</f>
        <v>0</v>
      </c>
      <c r="P221" s="2">
        <f>SUBTOTAL(109,Table1678[Active Opportunity])</f>
        <v>1</v>
      </c>
      <c r="Q221">
        <f>SUBTOTAL(109,Table1678[Challenge 1])</f>
        <v>0</v>
      </c>
      <c r="R221">
        <f>SUBTOTAL(109,Table1678[Challenge 2])</f>
        <v>0</v>
      </c>
      <c r="S221">
        <f>SUBTOTAL(109,Table1678[Challenge 3])</f>
        <v>0</v>
      </c>
      <c r="T221">
        <f>SUBTOTAL(109,Table1678[Challenge 4])</f>
        <v>0</v>
      </c>
      <c r="U221">
        <f>SUBTOTAL(109,Table1678[Challenge 5])</f>
        <v>0</v>
      </c>
      <c r="V221">
        <f>SUBTOTAL(109,Table1678[Challenge 6])</f>
        <v>1</v>
      </c>
      <c r="W221">
        <f>SUBTOTAL(109,Table1678[Challenge 7])</f>
        <v>0</v>
      </c>
      <c r="X221">
        <f>SUBTOTAL(109,Table1678[Challenge 8])</f>
        <v>0</v>
      </c>
      <c r="Y221">
        <f>SUBTOTAL(109,Table1678[Challenge 9])</f>
        <v>0</v>
      </c>
      <c r="Z221">
        <f>SUBTOTAL(109,Table1678[Challenge 10])</f>
        <v>0</v>
      </c>
      <c r="AA221">
        <f>SUBTOTAL(109,Table1678[Challenge 11])</f>
        <v>0</v>
      </c>
      <c r="AB221">
        <f>SUBTOTAL(109,Table1678[Challenge 12])</f>
        <v>0</v>
      </c>
      <c r="AC221">
        <f>SUBTOTAL(109,Table1678[Challenge 13])</f>
        <v>0</v>
      </c>
      <c r="AD221">
        <f>SUBTOTAL(109,Table1678[Challenge 14])</f>
        <v>0</v>
      </c>
      <c r="AE221">
        <f>SUBTOTAL(109,Table1678[Challenge 15])</f>
        <v>0</v>
      </c>
      <c r="AF221">
        <f>SUBTOTAL(109,Table1678[Challenge 16])</f>
        <v>0</v>
      </c>
      <c r="AG221">
        <f>SUBTOTAL(109,Table1678[Challenge 17])</f>
        <v>0</v>
      </c>
      <c r="AH221">
        <f>SUBTOTAL(109,Table1678[Challenge 18])</f>
        <v>0</v>
      </c>
      <c r="AI221">
        <f>SUBTOTAL(109,Table1678[Challenge 19])</f>
        <v>0</v>
      </c>
      <c r="AJ221">
        <f>SUBTOTAL(109,Table1678[Challenge 20])</f>
        <v>0</v>
      </c>
      <c r="AK221">
        <f>SUBTOTAL(109,Table1678[Challenge 21])</f>
        <v>0</v>
      </c>
      <c r="AL221">
        <f>SUBTOTAL(109,Table1678[Challenge 22])</f>
        <v>0</v>
      </c>
      <c r="AM221">
        <f>SUBTOTAL(109,Table1678[Challenge 23])</f>
        <v>0</v>
      </c>
      <c r="AN221">
        <f>SUBTOTAL(109,Table1678[Challenge 24])</f>
        <v>0</v>
      </c>
      <c r="AO221">
        <f>SUBTOTAL(109,Table1678[Challenge 25])</f>
        <v>0</v>
      </c>
      <c r="AP221">
        <f>SUBTOTAL(109,Table1678[Challenge 26])</f>
        <v>0</v>
      </c>
      <c r="AQ221">
        <f>SUBTOTAL(109,Table1678[Challenge 27])</f>
        <v>0</v>
      </c>
      <c r="AR221">
        <f>SUBTOTAL(109,Table1678[Challenge 28])</f>
        <v>0</v>
      </c>
      <c r="AS221">
        <f>SUBTOTAL(109,Table1678[Challenge 29])</f>
        <v>0</v>
      </c>
      <c r="AT221">
        <f>SUBTOTAL(109,Table1678[Challenge 30])</f>
        <v>0</v>
      </c>
      <c r="AU221">
        <f>SUBTOTAL(109,Table1678[Challenge 31])</f>
        <v>0</v>
      </c>
      <c r="AV221">
        <f>SUBTOTAL(109,Table1678[Challenge 32])</f>
        <v>0</v>
      </c>
      <c r="AW221">
        <f>SUBTOTAL(109,Table1678[Challenge 33])</f>
        <v>0</v>
      </c>
      <c r="AX221">
        <f>SUBTOTAL(109,Table1678[Challenge 34])</f>
        <v>0</v>
      </c>
      <c r="AY221">
        <f>SUBTOTAL(109,Table1678[Challenge 35])</f>
        <v>0</v>
      </c>
      <c r="AZ221">
        <f>SUBTOTAL(109,Table1678[Challenge 36])</f>
        <v>0</v>
      </c>
      <c r="BA221">
        <f>SUBTOTAL(109,Table1678[Challenge 37])</f>
        <v>0</v>
      </c>
      <c r="BB221">
        <f>SUBTOTAL(109,Table1678[Challenge 38])</f>
        <v>0</v>
      </c>
      <c r="BC221">
        <f>SUBTOTAL(109,Table1678[Challenge 39])</f>
        <v>0</v>
      </c>
      <c r="BD221">
        <f>SUBTOTAL(109,Table1678[Challenge 40])</f>
        <v>0</v>
      </c>
      <c r="BE221">
        <f>SUBTOTAL(109,Table1678[Challenge 41])</f>
        <v>0</v>
      </c>
      <c r="BF221">
        <f>SUBTOTAL(109,Table1678[Challenge 42])</f>
        <v>0</v>
      </c>
      <c r="BG221">
        <f>SUBTOTAL(109,Table1678[Challenge 43])</f>
        <v>0</v>
      </c>
      <c r="BH221">
        <f>SUBTOTAL(109,Table1678[Challenge 44])</f>
        <v>0</v>
      </c>
      <c r="BI221">
        <f>SUBTOTAL(109,Table1678[Challenge 45])</f>
        <v>0</v>
      </c>
      <c r="BJ221">
        <f>SUBTOTAL(109,Table1678[Challenge 46])</f>
        <v>0</v>
      </c>
      <c r="BK221">
        <f>SUBTOTAL(109,Table1678[Challenge 47])</f>
        <v>0</v>
      </c>
      <c r="BL221">
        <f>SUBTOTAL(109,Table1678[Challenge 48])</f>
        <v>0</v>
      </c>
      <c r="BM221">
        <f>SUBTOTAL(109,Table1678[Challenge 49])</f>
        <v>0</v>
      </c>
      <c r="BN221">
        <f>SUBTOTAL(109,Table1678[Challenge 50])</f>
        <v>0</v>
      </c>
      <c r="BO221">
        <f>SUBTOTAL(109,Table1678[Club 1])</f>
        <v>0</v>
      </c>
      <c r="BP221">
        <f>SUBTOTAL(109,Table1678[Club 2])</f>
        <v>0</v>
      </c>
      <c r="BQ221">
        <f>SUBTOTAL(109,Table1678[Club 3])</f>
        <v>0</v>
      </c>
      <c r="BR221">
        <f>SUBTOTAL(109,Table1678[Club 4])</f>
        <v>0</v>
      </c>
      <c r="BS221">
        <f>SUBTOTAL(109,Table1678[Club 5])</f>
        <v>0</v>
      </c>
      <c r="BT221">
        <f>SUBTOTAL(109,Table1678[Club 6])</f>
        <v>0</v>
      </c>
      <c r="BU221">
        <f>SUBTOTAL(109,Table1678[Club 7])</f>
        <v>0</v>
      </c>
      <c r="BV221">
        <f>SUBTOTAL(109,Table1678[Club 8])</f>
        <v>0</v>
      </c>
      <c r="BW221">
        <f>SUBTOTAL(109,Table1678[Club 9])</f>
        <v>0</v>
      </c>
      <c r="BX221">
        <f>SUBTOTAL(109,Table1678[Club 10])</f>
        <v>0</v>
      </c>
      <c r="BY221">
        <f>SUBTOTAL(109,Table1678[Club 11])</f>
        <v>0</v>
      </c>
      <c r="BZ221">
        <f>SUBTOTAL(109,Table1678[Club 12])</f>
        <v>0</v>
      </c>
      <c r="CA221">
        <f>SUBTOTAL(109,Table1678[Club 13])</f>
        <v>0</v>
      </c>
      <c r="CB221">
        <f>SUBTOTAL(109,Table1678[Club 14])</f>
        <v>0</v>
      </c>
      <c r="CC221">
        <f>SUBTOTAL(109,Table1678[Club 15])</f>
        <v>0</v>
      </c>
      <c r="CD221">
        <f>SUBTOTAL(109,Table1678[Club 16])</f>
        <v>0</v>
      </c>
      <c r="CE221">
        <f>SUBTOTAL(109,Table1678[Club 17])</f>
        <v>0</v>
      </c>
      <c r="CF221">
        <f>SUBTOTAL(109,Table1678[Club 18])</f>
        <v>0</v>
      </c>
      <c r="CG221">
        <f>SUBTOTAL(109,Table1678[Club 19])</f>
        <v>0</v>
      </c>
      <c r="CH221">
        <f>SUBTOTAL(109,Table1678[Club 20])</f>
        <v>0</v>
      </c>
      <c r="CI221">
        <f>SUBTOTAL(109,Table1678[Club 21])</f>
        <v>0</v>
      </c>
      <c r="CJ221">
        <f>SUBTOTAL(109,Table1678[Club 22])</f>
        <v>0</v>
      </c>
      <c r="CK221">
        <f>SUBTOTAL(109,Table1678[Club 23])</f>
        <v>0</v>
      </c>
      <c r="CL221">
        <f>SUBTOTAL(109,Table1678[Club 24])</f>
        <v>0</v>
      </c>
      <c r="CM221">
        <f>SUBTOTAL(109,Table1678[Club 25])</f>
        <v>0</v>
      </c>
      <c r="CN221">
        <f>SUBTOTAL(109,Table1678[Club 26])</f>
        <v>0</v>
      </c>
      <c r="CO221">
        <f>SUBTOTAL(109,Table1678[Club 27])</f>
        <v>0</v>
      </c>
      <c r="CP221">
        <f>SUBTOTAL(109,Table1678[Club 28])</f>
        <v>0</v>
      </c>
      <c r="CQ221">
        <f>SUBTOTAL(109,Table1678[Club 29])</f>
        <v>0</v>
      </c>
      <c r="CR221">
        <f>SUBTOTAL(109,Table1678[Club 30])</f>
        <v>0</v>
      </c>
      <c r="CS221">
        <f>SUBTOTAL(109,Table1678[Club 31])</f>
        <v>0</v>
      </c>
      <c r="CT221">
        <f>SUBTOTAL(109,Table1678[Club 32])</f>
        <v>0</v>
      </c>
      <c r="CU221">
        <f>SUBTOTAL(109,Table1678[Club 33])</f>
        <v>0</v>
      </c>
      <c r="CV221">
        <f>SUBTOTAL(109,Table1678[Club 34])</f>
        <v>0</v>
      </c>
      <c r="CW221">
        <f>SUBTOTAL(109,Table1678[Club 35])</f>
        <v>0</v>
      </c>
      <c r="CX221">
        <f>SUBTOTAL(109,Table1678[Club 36])</f>
        <v>0</v>
      </c>
      <c r="CY221">
        <f>SUBTOTAL(109,Table1678[Club 37])</f>
        <v>0</v>
      </c>
      <c r="CZ221">
        <f>SUBTOTAL(109,Table1678[Club 38])</f>
        <v>0</v>
      </c>
      <c r="DA221">
        <f>SUBTOTAL(109,Table1678[Club 39])</f>
        <v>0</v>
      </c>
      <c r="DB221">
        <f>SUBTOTAL(109,Table1678[Club 40])</f>
        <v>0</v>
      </c>
      <c r="DC221">
        <f>SUBTOTAL(109,Table1678[Club 41])</f>
        <v>0</v>
      </c>
      <c r="DD221">
        <f>SUBTOTAL(109,Table1678[Club 42])</f>
        <v>0</v>
      </c>
      <c r="DE221">
        <f>SUBTOTAL(109,Table1678[Club 43])</f>
        <v>0</v>
      </c>
      <c r="DF221">
        <f>SUBTOTAL(109,Table1678[Club 44])</f>
        <v>0</v>
      </c>
      <c r="DG221">
        <f>SUBTOTAL(109,Table1678[Club 45])</f>
        <v>0</v>
      </c>
      <c r="DH221">
        <f>SUBTOTAL(109,Table1678[Club 46])</f>
        <v>0</v>
      </c>
      <c r="DI221">
        <f>SUBTOTAL(109,Table1678[Club 47])</f>
        <v>0</v>
      </c>
      <c r="DJ221">
        <f>SUBTOTAL(109,Table1678[Club 48])</f>
        <v>0</v>
      </c>
      <c r="DK221">
        <f>SUBTOTAL(109,Table1678[Club 49])</f>
        <v>0</v>
      </c>
      <c r="DL221">
        <f>SUBTOTAL(109,Table1678[Club 50])</f>
        <v>0</v>
      </c>
      <c r="DM221">
        <f>SUBTOTAL(109,Table1678[Intra-school sports 1])</f>
        <v>0</v>
      </c>
      <c r="DN221">
        <f>SUBTOTAL(109,Table1678[Intra-school sports 2])</f>
        <v>0</v>
      </c>
      <c r="DO221">
        <f>SUBTOTAL(109,Table1678[Intra-school sports 3])</f>
        <v>0</v>
      </c>
      <c r="DP221">
        <f>SUBTOTAL(109,Table1678[Intra-school sports 4])</f>
        <v>0</v>
      </c>
      <c r="DQ221">
        <f>SUBTOTAL(109,Table1678[Intra-school sports 5])</f>
        <v>0</v>
      </c>
      <c r="DR221">
        <f>SUBTOTAL(109,Table1678[Intra-school sports 6])</f>
        <v>0</v>
      </c>
      <c r="DS221">
        <f>SUBTOTAL(109,Table1678[Intra-school sports 7])</f>
        <v>0</v>
      </c>
      <c r="DT221">
        <f>SUBTOTAL(109,Table1678[Intra-school sports 8])</f>
        <v>0</v>
      </c>
      <c r="DU221">
        <f>SUBTOTAL(109,Table1678[Intra-school sports 9])</f>
        <v>0</v>
      </c>
      <c r="DV221">
        <f>SUBTOTAL(109,Table1678[Intra-school sports 10])</f>
        <v>0</v>
      </c>
      <c r="DW221">
        <f>SUBTOTAL(109,Table1678[Intra-school sports 11])</f>
        <v>0</v>
      </c>
      <c r="DX221">
        <f>SUBTOTAL(109,Table1678[Intra-school sports 12])</f>
        <v>0</v>
      </c>
      <c r="DY221">
        <f>SUBTOTAL(109,Table1678[Intra-school sports 13])</f>
        <v>0</v>
      </c>
      <c r="DZ221">
        <f>SUBTOTAL(109,Table1678[Intra-school sports 14])</f>
        <v>0</v>
      </c>
      <c r="EA221">
        <f>SUBTOTAL(109,Table1678[Intra-school sports 15])</f>
        <v>0</v>
      </c>
      <c r="EB221">
        <f>SUBTOTAL(109,Table1678[Intra-school sports 16])</f>
        <v>0</v>
      </c>
      <c r="EC221">
        <f>SUBTOTAL(109,Table1678[Intra-school sports 17])</f>
        <v>0</v>
      </c>
      <c r="ED221">
        <f>SUBTOTAL(109,Table1678[Intra-school sports 18])</f>
        <v>0</v>
      </c>
      <c r="EE221">
        <f>SUBTOTAL(109,Table1678[Intra-school sports 19])</f>
        <v>0</v>
      </c>
      <c r="EF221">
        <f>SUBTOTAL(109,Table1678[Intra-school sports 20])</f>
        <v>0</v>
      </c>
      <c r="EG221">
        <f>SUBTOTAL(109,Table1678[Intra-school sports 21])</f>
        <v>0</v>
      </c>
      <c r="EH221">
        <f>SUBTOTAL(109,Table1678[Intra-school sports 22])</f>
        <v>0</v>
      </c>
      <c r="EI221">
        <f>SUBTOTAL(109,Table1678[Intra-school sports 23])</f>
        <v>0</v>
      </c>
      <c r="EJ221">
        <f>SUBTOTAL(109,Table1678[Intra-school sports 24])</f>
        <v>0</v>
      </c>
      <c r="EK221">
        <f>SUBTOTAL(109,Table1678[Intra-school sports 25])</f>
        <v>0</v>
      </c>
      <c r="EL221">
        <f>SUBTOTAL(109,Table1678[Intra-school sports 26])</f>
        <v>0</v>
      </c>
      <c r="EM221">
        <f>SUBTOTAL(109,Table1678[Intra-school sports 27])</f>
        <v>0</v>
      </c>
      <c r="EN221">
        <f>SUBTOTAL(109,Table1678[Intra-school sports 28])</f>
        <v>0</v>
      </c>
      <c r="EO221">
        <f>SUBTOTAL(109,Table1678[Intra-school sports 29])</f>
        <v>0</v>
      </c>
      <c r="EP221">
        <f>SUBTOTAL(109,Table1678[Intra-school sports 30])</f>
        <v>0</v>
      </c>
      <c r="EQ221">
        <f>SUBTOTAL(109,Table1678[Intra-school sports 31])</f>
        <v>0</v>
      </c>
      <c r="ER221">
        <f>SUBTOTAL(109,Table1678[Intra-school sports 32])</f>
        <v>0</v>
      </c>
      <c r="ES221">
        <f>SUBTOTAL(109,Table1678[Intra-school sports 33])</f>
        <v>0</v>
      </c>
      <c r="ET221">
        <f>SUBTOTAL(109,Table1678[Intra-school sports 34])</f>
        <v>0</v>
      </c>
      <c r="EU221">
        <f>SUBTOTAL(109,Table1678[Intra-school sports 35])</f>
        <v>0</v>
      </c>
      <c r="EV221">
        <f>SUBTOTAL(109,Table1678[Intra-school sports 36])</f>
        <v>0</v>
      </c>
      <c r="EW221">
        <f>SUBTOTAL(109,Table1678[Intra-school sports 37])</f>
        <v>0</v>
      </c>
      <c r="EX221">
        <f>SUBTOTAL(109,Table1678[Intra-school sports 38])</f>
        <v>0</v>
      </c>
      <c r="EY221">
        <f>SUBTOTAL(109,Table1678[Intra-school sports 39])</f>
        <v>0</v>
      </c>
      <c r="EZ221">
        <f>SUBTOTAL(109,Table1678[Intra-school sports 40])</f>
        <v>0</v>
      </c>
      <c r="FA221">
        <f>SUBTOTAL(109,Table1678[Intra-school sports 41])</f>
        <v>0</v>
      </c>
      <c r="FB221">
        <f>SUBTOTAL(109,Table1678[Intra-school sports 42])</f>
        <v>0</v>
      </c>
      <c r="FC221">
        <f>SUBTOTAL(109,Table1678[Intra-school sports 43])</f>
        <v>0</v>
      </c>
      <c r="FD221">
        <f>SUBTOTAL(109,Table1678[Intra-school sports 44])</f>
        <v>0</v>
      </c>
      <c r="FE221">
        <f>SUBTOTAL(109,Table1678[Intra-school sports 45])</f>
        <v>0</v>
      </c>
      <c r="FF221">
        <f>SUBTOTAL(109,Table1678[Intra-school sports 46])</f>
        <v>0</v>
      </c>
      <c r="FG221">
        <f>SUBTOTAL(109,Table1678[Intra-school sports 47])</f>
        <v>0</v>
      </c>
      <c r="FH221">
        <f>SUBTOTAL(109,Table1678[Intra-school sports 48])</f>
        <v>0</v>
      </c>
      <c r="FI221">
        <f>SUBTOTAL(109,Table1678[Intra-school sports 49])</f>
        <v>0</v>
      </c>
      <c r="FJ221">
        <f>SUBTOTAL(109,Table1678[Intra-school sports 50])</f>
        <v>0</v>
      </c>
      <c r="FK221">
        <f>SUBTOTAL(109,Table1678[Inter School sports 1])</f>
        <v>0</v>
      </c>
      <c r="FL221">
        <f>SUBTOTAL(109,Table1678[Inter School sports 2])</f>
        <v>0</v>
      </c>
      <c r="FM221">
        <f>SUBTOTAL(109,Table1678[Inter School sports 3])</f>
        <v>0</v>
      </c>
      <c r="FN221">
        <f>SUBTOTAL(109,Table1678[Inter School sports 4])</f>
        <v>0</v>
      </c>
      <c r="FO221">
        <f>SUBTOTAL(109,Table1678[Inter School sports 5])</f>
        <v>0</v>
      </c>
      <c r="FP221">
        <f>SUBTOTAL(109,Table1678[Inter School sports 6])</f>
        <v>0</v>
      </c>
      <c r="FQ221">
        <f>SUBTOTAL(109,Table1678[Inter School sports 7])</f>
        <v>0</v>
      </c>
      <c r="FR221">
        <f>SUBTOTAL(109,Table1678[Inter School sports 8])</f>
        <v>0</v>
      </c>
      <c r="FS221">
        <f>SUBTOTAL(109,Table1678[Inter School sports 9])</f>
        <v>0</v>
      </c>
      <c r="FT221">
        <f>SUBTOTAL(109,Table1678[Inter School sports 10])</f>
        <v>0</v>
      </c>
      <c r="FU221">
        <f>SUBTOTAL(109,Table1678[Inter School sports 11])</f>
        <v>0</v>
      </c>
      <c r="FV221">
        <f>SUBTOTAL(109,Table1678[Inter School sports 12])</f>
        <v>0</v>
      </c>
      <c r="FW221">
        <f>SUBTOTAL(109,Table1678[Inter School sports 13])</f>
        <v>0</v>
      </c>
      <c r="FX221">
        <f>SUBTOTAL(109,Table1678[Inter School sports 14])</f>
        <v>0</v>
      </c>
      <c r="FY221">
        <f>SUBTOTAL(109,Table1678[Inter School sports 15])</f>
        <v>0</v>
      </c>
      <c r="FZ221">
        <f>SUBTOTAL(109,Table1678[Inter School sports 16])</f>
        <v>0</v>
      </c>
      <c r="GA221">
        <f>SUBTOTAL(109,Table1678[Inter School sports 17])</f>
        <v>0</v>
      </c>
      <c r="GB221">
        <f>SUBTOTAL(109,Table1678[Inter School sports 18])</f>
        <v>0</v>
      </c>
      <c r="GC221">
        <f>SUBTOTAL(109,Table1678[Inter School sports 19])</f>
        <v>0</v>
      </c>
      <c r="GD221">
        <f>SUBTOTAL(109,Table1678[Inter School sports 20])</f>
        <v>0</v>
      </c>
      <c r="GE221">
        <f>SUBTOTAL(109,Table1678[Inter School sports 21])</f>
        <v>0</v>
      </c>
      <c r="GF221">
        <f>SUBTOTAL(109,Table1678[Inter School sports 22])</f>
        <v>0</v>
      </c>
      <c r="GG221">
        <f>SUBTOTAL(109,Table1678[Inter School sports 23])</f>
        <v>0</v>
      </c>
      <c r="GH221">
        <f>SUBTOTAL(109,Table1678[Inter School sports 24])</f>
        <v>0</v>
      </c>
      <c r="GI221">
        <f>SUBTOTAL(109,Table1678[Inter School sports 25])</f>
        <v>0</v>
      </c>
      <c r="GJ221">
        <f>SUBTOTAL(109,Table1678[Inter School sports 26])</f>
        <v>0</v>
      </c>
      <c r="GK221">
        <f>SUBTOTAL(109,Table1678[Inter School sports 27])</f>
        <v>0</v>
      </c>
      <c r="GL221">
        <f>SUBTOTAL(109,Table1678[Inter School sports 28])</f>
        <v>0</v>
      </c>
      <c r="GM221">
        <f>SUBTOTAL(109,Table1678[Inter School sports 29])</f>
        <v>0</v>
      </c>
      <c r="GN221">
        <f>SUBTOTAL(109,Table1678[Inter School sports 30])</f>
        <v>0</v>
      </c>
      <c r="GO221">
        <f>SUBTOTAL(109,Table1678[Inter School sports 31])</f>
        <v>0</v>
      </c>
      <c r="GP221">
        <f>SUBTOTAL(109,Table1678[Inter School sports 32])</f>
        <v>0</v>
      </c>
      <c r="GQ221">
        <f>SUBTOTAL(109,Table1678[Inter School sports 33])</f>
        <v>0</v>
      </c>
      <c r="GR221">
        <f>SUBTOTAL(109,Table1678[Inter School sports 34])</f>
        <v>0</v>
      </c>
      <c r="GS221">
        <f>SUBTOTAL(109,Table1678[Inter School sports 35])</f>
        <v>0</v>
      </c>
      <c r="GT221">
        <f>SUBTOTAL(109,Table1678[Inter School sports 36])</f>
        <v>0</v>
      </c>
      <c r="GU221">
        <f>SUBTOTAL(109,Table1678[Inter School sports 37])</f>
        <v>0</v>
      </c>
      <c r="GV221">
        <f>SUBTOTAL(109,Table1678[Inter School sports 38])</f>
        <v>0</v>
      </c>
      <c r="GW221">
        <f>SUBTOTAL(109,Table1678[Inter School sports 39])</f>
        <v>0</v>
      </c>
      <c r="GX221">
        <f>SUBTOTAL(109,Table1678[Inter School sports 40])</f>
        <v>0</v>
      </c>
      <c r="GY221">
        <f>SUBTOTAL(109,Table1678[Inter School sports 41])</f>
        <v>0</v>
      </c>
      <c r="GZ221">
        <f>SUBTOTAL(109,Table1678[Inter School sports 42])</f>
        <v>0</v>
      </c>
      <c r="HA221">
        <f>SUBTOTAL(109,Table1678[Inter School sports 43])</f>
        <v>0</v>
      </c>
      <c r="HB221">
        <f>SUBTOTAL(109,Table1678[Inter School sports 44])</f>
        <v>0</v>
      </c>
      <c r="HC221">
        <f>SUBTOTAL(109,Table1678[Inter School sports 45])</f>
        <v>0</v>
      </c>
      <c r="HD221">
        <f>SUBTOTAL(109,Table1678[Inter School sports 46])</f>
        <v>0</v>
      </c>
      <c r="HE221">
        <f>SUBTOTAL(109,Table1678[Inter School sports 47])</f>
        <v>0</v>
      </c>
      <c r="HF221">
        <f>SUBTOTAL(109,Table1678[Inter School sports 48])</f>
        <v>0</v>
      </c>
      <c r="HG221">
        <f>SUBTOTAL(109,Table1678[Inter School sports 49])</f>
        <v>0</v>
      </c>
      <c r="HH221">
        <f>SUBTOTAL(109,Table1678[Inter School sports 50])</f>
        <v>0</v>
      </c>
      <c r="HI221"/>
      <c r="HJ221" s="65"/>
    </row>
  </sheetData>
  <mergeCells count="5">
    <mergeCell ref="B1:J1"/>
    <mergeCell ref="Q1:BN1"/>
    <mergeCell ref="BO1:DL1"/>
    <mergeCell ref="DM1:FJ1"/>
    <mergeCell ref="FK1:HH1"/>
  </mergeCells>
  <pageMargins left="0.7" right="0.7" top="0.75" bottom="0.75" header="0.3" footer="0.3"/>
  <drawing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workbookViewId="0">
      <selection activeCell="B1" sqref="B1:J20"/>
    </sheetView>
  </sheetViews>
  <sheetFormatPr defaultRowHeight="15" x14ac:dyDescent="0.25"/>
  <cols>
    <col min="2" max="2" width="31.140625" customWidth="1"/>
    <col min="4" max="4" width="31.42578125" bestFit="1" customWidth="1"/>
    <col min="5" max="5" width="7.140625" bestFit="1" customWidth="1"/>
    <col min="6" max="6" width="28.85546875" bestFit="1" customWidth="1"/>
    <col min="7" max="7" width="7.140625" bestFit="1" customWidth="1"/>
    <col min="8" max="8" width="30" bestFit="1" customWidth="1"/>
    <col min="9" max="9" width="7.140625" bestFit="1" customWidth="1"/>
  </cols>
  <sheetData>
    <row r="1" spans="2:9" x14ac:dyDescent="0.25">
      <c r="B1" t="s">
        <v>78</v>
      </c>
      <c r="D1" t="s">
        <v>79</v>
      </c>
      <c r="F1" t="s">
        <v>80</v>
      </c>
      <c r="H1" t="s">
        <v>81</v>
      </c>
    </row>
    <row r="2" spans="2:9" x14ac:dyDescent="0.25">
      <c r="B2">
        <v>0</v>
      </c>
      <c r="C2" t="s">
        <v>96</v>
      </c>
      <c r="D2">
        <v>0</v>
      </c>
      <c r="E2" t="s">
        <v>96</v>
      </c>
      <c r="F2">
        <v>0</v>
      </c>
      <c r="G2" t="s">
        <v>96</v>
      </c>
      <c r="H2">
        <v>0</v>
      </c>
      <c r="I2" t="s">
        <v>96</v>
      </c>
    </row>
    <row r="3" spans="2:9" x14ac:dyDescent="0.25">
      <c r="B3">
        <v>3</v>
      </c>
      <c r="C3" t="s">
        <v>76</v>
      </c>
      <c r="D3">
        <v>4</v>
      </c>
      <c r="E3" t="s">
        <v>76</v>
      </c>
      <c r="F3">
        <v>5</v>
      </c>
      <c r="G3" t="s">
        <v>76</v>
      </c>
      <c r="H3">
        <v>6</v>
      </c>
      <c r="I3" t="s">
        <v>76</v>
      </c>
    </row>
    <row r="4" spans="2:9" x14ac:dyDescent="0.25">
      <c r="B4">
        <v>4</v>
      </c>
      <c r="C4" t="s">
        <v>77</v>
      </c>
      <c r="D4">
        <v>5</v>
      </c>
      <c r="E4" t="s">
        <v>77</v>
      </c>
      <c r="F4">
        <v>6</v>
      </c>
      <c r="G4" t="s">
        <v>77</v>
      </c>
      <c r="H4">
        <v>7</v>
      </c>
      <c r="I4" t="s">
        <v>77</v>
      </c>
    </row>
    <row r="5" spans="2:9" x14ac:dyDescent="0.25">
      <c r="B5">
        <v>5</v>
      </c>
      <c r="C5" t="s">
        <v>75</v>
      </c>
      <c r="D5">
        <v>7</v>
      </c>
      <c r="E5" t="s">
        <v>75</v>
      </c>
      <c r="F5">
        <v>8</v>
      </c>
      <c r="G5" t="s">
        <v>75</v>
      </c>
      <c r="H5">
        <v>9</v>
      </c>
      <c r="I5" t="s">
        <v>75</v>
      </c>
    </row>
    <row r="7" spans="2:9" x14ac:dyDescent="0.25">
      <c r="B7" t="s">
        <v>82</v>
      </c>
      <c r="D7" t="s">
        <v>83</v>
      </c>
      <c r="F7" t="s">
        <v>84</v>
      </c>
      <c r="H7" t="s">
        <v>85</v>
      </c>
    </row>
    <row r="8" spans="2:9" x14ac:dyDescent="0.25">
      <c r="B8">
        <v>0</v>
      </c>
      <c r="C8" t="s">
        <v>96</v>
      </c>
      <c r="D8">
        <v>0</v>
      </c>
      <c r="E8" t="s">
        <v>96</v>
      </c>
      <c r="F8">
        <v>0</v>
      </c>
      <c r="G8" t="s">
        <v>96</v>
      </c>
      <c r="H8">
        <v>0</v>
      </c>
      <c r="I8" t="s">
        <v>96</v>
      </c>
    </row>
    <row r="9" spans="2:9" x14ac:dyDescent="0.25">
      <c r="B9">
        <v>2</v>
      </c>
      <c r="C9" t="s">
        <v>76</v>
      </c>
      <c r="D9">
        <v>3</v>
      </c>
      <c r="E9" t="s">
        <v>76</v>
      </c>
      <c r="F9">
        <v>3</v>
      </c>
      <c r="G9" t="s">
        <v>76</v>
      </c>
      <c r="H9">
        <v>4</v>
      </c>
      <c r="I9" t="s">
        <v>76</v>
      </c>
    </row>
    <row r="10" spans="2:9" x14ac:dyDescent="0.25">
      <c r="B10">
        <v>3</v>
      </c>
      <c r="C10" t="s">
        <v>77</v>
      </c>
      <c r="D10">
        <v>4</v>
      </c>
      <c r="E10" t="s">
        <v>77</v>
      </c>
      <c r="F10">
        <v>4</v>
      </c>
      <c r="G10" t="s">
        <v>77</v>
      </c>
      <c r="H10">
        <v>5</v>
      </c>
      <c r="I10" t="s">
        <v>77</v>
      </c>
    </row>
    <row r="11" spans="2:9" x14ac:dyDescent="0.25">
      <c r="B11">
        <v>4</v>
      </c>
      <c r="C11" t="s">
        <v>75</v>
      </c>
      <c r="D11">
        <v>6</v>
      </c>
      <c r="E11" t="s">
        <v>75</v>
      </c>
      <c r="F11">
        <v>6</v>
      </c>
      <c r="G11" t="s">
        <v>75</v>
      </c>
      <c r="H11">
        <v>7</v>
      </c>
      <c r="I11" t="s">
        <v>75</v>
      </c>
    </row>
    <row r="13" spans="2:9" x14ac:dyDescent="0.25">
      <c r="B13" s="30" t="s">
        <v>86</v>
      </c>
      <c r="D13" s="30" t="s">
        <v>87</v>
      </c>
      <c r="F13" s="30" t="s">
        <v>88</v>
      </c>
      <c r="H13" s="30" t="s">
        <v>89</v>
      </c>
    </row>
    <row r="14" spans="2:9" x14ac:dyDescent="0.25">
      <c r="B14">
        <v>0</v>
      </c>
      <c r="C14" t="s">
        <v>77</v>
      </c>
      <c r="D14">
        <v>0</v>
      </c>
      <c r="E14" t="s">
        <v>76</v>
      </c>
      <c r="F14">
        <v>0</v>
      </c>
      <c r="G14" t="s">
        <v>76</v>
      </c>
      <c r="H14">
        <v>0</v>
      </c>
      <c r="I14" t="s">
        <v>76</v>
      </c>
    </row>
    <row r="15" spans="2:9" x14ac:dyDescent="0.25">
      <c r="B15">
        <v>0</v>
      </c>
      <c r="C15" t="s">
        <v>77</v>
      </c>
      <c r="D15">
        <v>1</v>
      </c>
      <c r="E15" t="s">
        <v>77</v>
      </c>
      <c r="F15">
        <v>2</v>
      </c>
      <c r="G15" t="s">
        <v>77</v>
      </c>
      <c r="H15">
        <v>2</v>
      </c>
      <c r="I15" t="s">
        <v>77</v>
      </c>
    </row>
    <row r="16" spans="2:9" x14ac:dyDescent="0.25">
      <c r="B16">
        <v>0</v>
      </c>
      <c r="C16" t="s">
        <v>75</v>
      </c>
      <c r="D16">
        <v>1</v>
      </c>
      <c r="E16" t="s">
        <v>75</v>
      </c>
      <c r="F16">
        <v>3</v>
      </c>
      <c r="G16" t="s">
        <v>75</v>
      </c>
      <c r="H16">
        <v>3</v>
      </c>
      <c r="I16" t="s">
        <v>75</v>
      </c>
    </row>
    <row r="17" spans="2:9" x14ac:dyDescent="0.25">
      <c r="B17" s="30" t="s">
        <v>90</v>
      </c>
      <c r="D17" s="30" t="s">
        <v>91</v>
      </c>
      <c r="F17" s="30" t="s">
        <v>92</v>
      </c>
      <c r="H17" s="30" t="s">
        <v>93</v>
      </c>
    </row>
    <row r="18" spans="2:9" x14ac:dyDescent="0.25">
      <c r="B18">
        <v>0</v>
      </c>
      <c r="C18" t="s">
        <v>94</v>
      </c>
      <c r="D18">
        <v>0</v>
      </c>
      <c r="E18" t="s">
        <v>94</v>
      </c>
      <c r="F18">
        <v>0</v>
      </c>
      <c r="G18" t="s">
        <v>95</v>
      </c>
      <c r="H18">
        <v>0</v>
      </c>
      <c r="I18" t="s">
        <v>95</v>
      </c>
    </row>
    <row r="19" spans="2:9" x14ac:dyDescent="0.25">
      <c r="F19">
        <v>1</v>
      </c>
      <c r="G19" t="s">
        <v>75</v>
      </c>
      <c r="H19">
        <v>2</v>
      </c>
      <c r="I19"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School Games Mark - KS2</vt:lpstr>
      <vt:lpstr>Tracker</vt:lpstr>
      <vt:lpstr>Year 1</vt:lpstr>
      <vt:lpstr>Year 2</vt:lpstr>
      <vt:lpstr>Year 3</vt:lpstr>
      <vt:lpstr>Year 4</vt:lpstr>
      <vt:lpstr>Year 5</vt:lpstr>
      <vt:lpstr>Year 6</vt:lpstr>
      <vt:lpstr>Lookups</vt:lpstr>
      <vt:lpstr>Year1</vt:lpstr>
      <vt:lpstr>'Year 1'!Year3</vt:lpstr>
      <vt:lpstr>'Year 2'!Year3</vt:lpstr>
      <vt:lpstr>'Year 4'!Year3</vt:lpstr>
      <vt:lpstr>'Year 5'!Year3</vt:lpstr>
      <vt:lpstr>'Year 6'!Year3</vt:lpstr>
      <vt:lpstr>Year3</vt:lpstr>
    </vt:vector>
  </TitlesOfParts>
  <Company>University of Brighton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Mclaughlin</dc:creator>
  <cp:lastModifiedBy>Ali Groves</cp:lastModifiedBy>
  <cp:lastPrinted>2020-09-02T09:25:13Z</cp:lastPrinted>
  <dcterms:created xsi:type="dcterms:W3CDTF">2019-08-22T10:55:07Z</dcterms:created>
  <dcterms:modified xsi:type="dcterms:W3CDTF">2022-11-30T15:28:32Z</dcterms:modified>
</cp:coreProperties>
</file>